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charts/chart1.xml" ContentType="application/vnd.openxmlformats-officedocument.drawingml.chart+xml"/>
  <Override PartName="/xl/drawings/drawing3.xml" ContentType="application/vnd.openxmlformats-officedocument.drawing+xml"/>
  <Override PartName="/xl/tables/table5.xml" ContentType="application/vnd.openxmlformats-officedocument.spreadsheetml.table+xml"/>
  <Override PartName="/xl/charts/chart2.xml" ContentType="application/vnd.openxmlformats-officedocument.drawingml.chart+xml"/>
  <Override PartName="/xl/tables/table6.xml" ContentType="application/vnd.openxmlformats-officedocument.spreadsheetml.table+xml"/>
  <Override PartName="/xl/tables/table7.xml" ContentType="application/vnd.openxmlformats-officedocument.spreadsheetml.table+xml"/>
  <Override PartName="/xl/drawings/drawing4.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harts/chart3.xml" ContentType="application/vnd.openxmlformats-officedocument.drawingml.chart+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autoCompressPictures="0"/>
  <mc:AlternateContent xmlns:mc="http://schemas.openxmlformats.org/markup-compatibility/2006">
    <mc:Choice Requires="x15">
      <x15ac:absPath xmlns:x15ac="http://schemas.microsoft.com/office/spreadsheetml/2010/11/ac" url="F:\Valmennettavat\"/>
    </mc:Choice>
  </mc:AlternateContent>
  <xr:revisionPtr revIDLastSave="0" documentId="13_ncr:1_{630B9718-5C92-42F4-A5E6-08581BA31199}" xr6:coauthVersionLast="46" xr6:coauthVersionMax="46" xr10:uidLastSave="{00000000-0000-0000-0000-000000000000}"/>
  <bookViews>
    <workbookView xWindow="-120" yWindow="-120" windowWidth="29040" windowHeight="15840" tabRatio="797" xr2:uid="{00000000-000D-0000-FFFF-FFFF00000000}"/>
  </bookViews>
  <sheets>
    <sheet name="Alkukysely" sheetId="12" r:id="rId1"/>
    <sheet name="Kuntoseuranta" sheetId="24" r:id="rId2"/>
    <sheet name="Esimerkki kuntoseuranta" sheetId="25" r:id="rId3"/>
    <sheet name="Viikko-ohjelma" sheetId="18" r:id="rId4"/>
    <sheet name="Harjoitusalueet" sheetId="1" r:id="rId5"/>
    <sheet name="Kausisuunnitelma" sheetId="13" r:id="rId6"/>
    <sheet name="Kovat 1" sheetId="23" r:id="rId7"/>
    <sheet name="Kovat 2 ja 3" sheetId="22" r:id="rId8"/>
    <sheet name="Ohjelmamallit" sheetId="16" r:id="rId9"/>
  </sheets>
  <definedNames>
    <definedName name="Intensiteetti" localSheetId="2">Treenivalinta2141516[#All]</definedName>
    <definedName name="Intensiteetti" localSheetId="6">Treenivalinta2141516[#All]</definedName>
    <definedName name="Intensiteetti">Treenivalinta2141516[#All]</definedName>
    <definedName name="Intensiteettikoodi" localSheetId="2">Table17[#All]</definedName>
    <definedName name="Intensiteettikoodi" localSheetId="6">Table17[#All]</definedName>
    <definedName name="Intensiteettikoodi">Table17[#All]</definedName>
    <definedName name="Intensiteettinumero">Ohjelmamallit!$A$27:$H$30</definedName>
    <definedName name="Jaksokoodit" localSheetId="2">Table7[#All]</definedName>
    <definedName name="Jaksokoodit" localSheetId="6">Table7[#All]</definedName>
    <definedName name="Jaksokoodit" localSheetId="3">Table7[#All]</definedName>
    <definedName name="Jaksokoodit">Table7[#All]</definedName>
    <definedName name="Jaksokoodit2" localSheetId="2">Table7[#All]</definedName>
    <definedName name="Jaksokoodit2" localSheetId="6">Table7[#All]</definedName>
    <definedName name="Jaksokoodit2">Table7[#All]</definedName>
    <definedName name="Kausisuunnitelma" localSheetId="2">Table16[[#Headers],[#Data]]</definedName>
    <definedName name="Kausisuunnitelma" localSheetId="6">Table16[[#Headers],[#Data]]</definedName>
    <definedName name="Kausisuunnitelma">Table16[[#Headers],[#Data]]</definedName>
    <definedName name="Keskikesto" localSheetId="2">Treenivalinta21415[#All]</definedName>
    <definedName name="Keskikesto" localSheetId="6">Treenivalinta21415[#All]</definedName>
    <definedName name="Keskikesto">Treenivalinta21415[#All]</definedName>
    <definedName name="Kevytkesto">Ohjelmamallit!$A$50:$H$53</definedName>
    <definedName name="Kevytnum">Ohjelmamallit!$A$45:$H$48</definedName>
    <definedName name="Kevytviikko">Ohjelmamallit!$A$40:$H$43</definedName>
    <definedName name="Kovat1">'Kovat 1'!$A$1:$AI$29</definedName>
    <definedName name="Kovat23" localSheetId="6">'Kovat 1'!$A$1:$AC$29</definedName>
    <definedName name="Kovat23">'Kovat 2 ja 3'!$A$1:$AK$29</definedName>
    <definedName name="Kynnys" localSheetId="2">Table11[#All]</definedName>
    <definedName name="Kynnys">Table11[#All]</definedName>
    <definedName name="Maksimikesto" localSheetId="2">Treenivalinta214[#All]</definedName>
    <definedName name="Maksimikesto" localSheetId="6">Treenivalinta214[#All]</definedName>
    <definedName name="Maksimikesto">Treenivalinta214[#All]</definedName>
    <definedName name="Minimikesto" localSheetId="2">Treenivalinta2[#All]</definedName>
    <definedName name="Minimikesto" localSheetId="6">Treenivalinta2[#All]</definedName>
    <definedName name="Minimikesto">Treenivalinta2[#All]</definedName>
    <definedName name="MMP" localSheetId="2">Table20[#All]</definedName>
    <definedName name="MMP" localSheetId="6">Table20[#All]</definedName>
    <definedName name="MMP">Table20[#All]</definedName>
    <definedName name="Tehovauhti" localSheetId="2">#REF!</definedName>
    <definedName name="Tehovauhti" localSheetId="5">#REF!</definedName>
    <definedName name="Tehovauhti" localSheetId="6">#REF!</definedName>
    <definedName name="Tehovauhti" localSheetId="3">#REF!</definedName>
    <definedName name="Tehovauhti">#REF!</definedName>
    <definedName name="Treenikerroin" localSheetId="2">#REF!</definedName>
    <definedName name="Treenikerroin" localSheetId="6">#REF!</definedName>
    <definedName name="Treenikerroin">#REF!</definedName>
    <definedName name="Treenivalinta" localSheetId="2">Table9[#All]</definedName>
    <definedName name="Treenivalinta" localSheetId="6">Table9[#All]</definedName>
    <definedName name="Treenivalinta" localSheetId="3">Table9[#All]</definedName>
    <definedName name="Treenivalinta">Table9[#All]</definedName>
    <definedName name="Vauhti" localSheetId="2">#REF!</definedName>
    <definedName name="Vauhti" localSheetId="5">#REF!</definedName>
    <definedName name="Vauhti" localSheetId="6">#REF!</definedName>
    <definedName name="Vauhti" localSheetId="3">#REF!</definedName>
    <definedName name="Vauhti">#REF!</definedName>
    <definedName name="Viikkokoodit" localSheetId="2">Table3[#All]</definedName>
    <definedName name="Viikkokoodit" localSheetId="6">Table3[#All]</definedName>
    <definedName name="Viikkokoodit" localSheetId="3">Table3[#All]</definedName>
    <definedName name="Viikkokoodit">Table3[#All]</definedName>
    <definedName name="Viikkoohjelma" localSheetId="2">#REF!</definedName>
    <definedName name="Viikkoohjelma" localSheetId="6">#REF!</definedName>
    <definedName name="Viikkoohjelma" localSheetId="3">#REF!</definedName>
    <definedName name="Viikkoohjelm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15" i="22" l="1"/>
  <c r="N15" i="22"/>
  <c r="A466" i="18"/>
  <c r="A412" i="18"/>
  <c r="A286" i="18"/>
  <c r="B2" i="13"/>
  <c r="A52" i="18" l="1"/>
  <c r="G192" i="18" l="1"/>
  <c r="P14" i="22"/>
  <c r="N14" i="22"/>
  <c r="S7" i="22" l="1"/>
  <c r="R7" i="22"/>
  <c r="T7" i="22" s="1"/>
  <c r="S6" i="22"/>
  <c r="R6" i="22"/>
  <c r="S9" i="22"/>
  <c r="R9" i="22"/>
  <c r="T9" i="22" s="1"/>
  <c r="AF10" i="22"/>
  <c r="AE10" i="22"/>
  <c r="AF9" i="22"/>
  <c r="AE9" i="22"/>
  <c r="AF7" i="22"/>
  <c r="AG7" i="22" s="1"/>
  <c r="AE7" i="22"/>
  <c r="AF6" i="22"/>
  <c r="AE6" i="22"/>
  <c r="AF20" i="22"/>
  <c r="AE20" i="22"/>
  <c r="AF17" i="22"/>
  <c r="AE17" i="22"/>
  <c r="AG17" i="22" s="1"/>
  <c r="AF15" i="22"/>
  <c r="AG15" i="22" s="1"/>
  <c r="AE15" i="22"/>
  <c r="AF12" i="22"/>
  <c r="AE12" i="22"/>
  <c r="AG12" i="22" s="1"/>
  <c r="AF8" i="22"/>
  <c r="AG8" i="22" s="1"/>
  <c r="AE8" i="22"/>
  <c r="E29" i="22"/>
  <c r="C29" i="22"/>
  <c r="E28" i="22"/>
  <c r="C28" i="22"/>
  <c r="E27" i="22"/>
  <c r="C27" i="22"/>
  <c r="E26" i="22"/>
  <c r="C26" i="22"/>
  <c r="E25" i="22"/>
  <c r="C25" i="22"/>
  <c r="E24" i="22"/>
  <c r="C24" i="22"/>
  <c r="E23" i="22"/>
  <c r="C23" i="22"/>
  <c r="E22" i="22"/>
  <c r="C22" i="22"/>
  <c r="E21" i="22"/>
  <c r="C21" i="22"/>
  <c r="E20" i="22"/>
  <c r="C20" i="22"/>
  <c r="E19" i="22"/>
  <c r="C19" i="22"/>
  <c r="E18" i="22"/>
  <c r="C18" i="22"/>
  <c r="E17" i="22"/>
  <c r="C17" i="22"/>
  <c r="E16" i="22"/>
  <c r="C16" i="22"/>
  <c r="E15" i="22"/>
  <c r="C15" i="22"/>
  <c r="E14" i="22"/>
  <c r="C14" i="22"/>
  <c r="E13" i="22"/>
  <c r="C13" i="22"/>
  <c r="E12" i="22"/>
  <c r="C12" i="22"/>
  <c r="E11" i="22"/>
  <c r="C11" i="22"/>
  <c r="E10" i="22"/>
  <c r="C10" i="22"/>
  <c r="E9" i="22"/>
  <c r="C9" i="22"/>
  <c r="E8" i="22"/>
  <c r="C8" i="22"/>
  <c r="E7" i="22"/>
  <c r="C7" i="22"/>
  <c r="E6" i="22"/>
  <c r="C6" i="22"/>
  <c r="E5" i="22"/>
  <c r="C5" i="22"/>
  <c r="E4" i="22"/>
  <c r="C4" i="22"/>
  <c r="E3" i="22"/>
  <c r="C3" i="22"/>
  <c r="A3" i="22"/>
  <c r="A4" i="22" s="1"/>
  <c r="A5" i="22" s="1"/>
  <c r="E2" i="22"/>
  <c r="B2" i="22"/>
  <c r="AF22" i="23"/>
  <c r="AE22" i="23"/>
  <c r="S22" i="23"/>
  <c r="R22" i="23"/>
  <c r="AF21" i="23"/>
  <c r="AE21" i="23"/>
  <c r="S21" i="23"/>
  <c r="R21" i="23"/>
  <c r="AF20" i="23"/>
  <c r="AE20" i="23"/>
  <c r="AG20" i="23" s="1"/>
  <c r="S20" i="23"/>
  <c r="R20" i="23"/>
  <c r="T20" i="23" s="1"/>
  <c r="AF19" i="23"/>
  <c r="AE19" i="23"/>
  <c r="S19" i="23"/>
  <c r="R19" i="23"/>
  <c r="AF18" i="23"/>
  <c r="AE18" i="23"/>
  <c r="S18" i="23"/>
  <c r="R18" i="23"/>
  <c r="T18" i="23" s="1"/>
  <c r="AF8" i="23"/>
  <c r="AG8" i="23" s="1"/>
  <c r="AE8" i="23"/>
  <c r="S8" i="23"/>
  <c r="R8" i="23"/>
  <c r="AF16" i="23"/>
  <c r="AE16" i="23"/>
  <c r="S16" i="23"/>
  <c r="R16" i="23"/>
  <c r="T16" i="23" s="1"/>
  <c r="AF14" i="23"/>
  <c r="AE14" i="23"/>
  <c r="AG14" i="23" s="1"/>
  <c r="S14" i="23"/>
  <c r="R14" i="23"/>
  <c r="AF13" i="23"/>
  <c r="AE13" i="23"/>
  <c r="S13" i="23"/>
  <c r="R13" i="23"/>
  <c r="AF11" i="23"/>
  <c r="AE11" i="23"/>
  <c r="AG11" i="23" s="1"/>
  <c r="S11" i="23"/>
  <c r="R11" i="23"/>
  <c r="AF10" i="23"/>
  <c r="AG10" i="23" s="1"/>
  <c r="AE10" i="23"/>
  <c r="S10" i="23"/>
  <c r="R10" i="23"/>
  <c r="AF7" i="23"/>
  <c r="AE7" i="23"/>
  <c r="AG7" i="23" s="1"/>
  <c r="S7" i="23"/>
  <c r="R7" i="23"/>
  <c r="E7" i="23"/>
  <c r="C7" i="23"/>
  <c r="AF6" i="23"/>
  <c r="AE6" i="23"/>
  <c r="S6" i="23"/>
  <c r="T6" i="23" s="1"/>
  <c r="R6" i="23"/>
  <c r="E6" i="23"/>
  <c r="C6" i="23"/>
  <c r="AF9" i="23"/>
  <c r="AE9" i="23"/>
  <c r="AG9" i="23" s="1"/>
  <c r="S9" i="23"/>
  <c r="R9" i="23"/>
  <c r="E9" i="23"/>
  <c r="C9" i="23"/>
  <c r="AG20" i="22" l="1"/>
  <c r="T9" i="23"/>
  <c r="AG13" i="23"/>
  <c r="AG16" i="23"/>
  <c r="AG18" i="23"/>
  <c r="AG22" i="23"/>
  <c r="T11" i="23"/>
  <c r="T8" i="23"/>
  <c r="T6" i="22"/>
  <c r="AG6" i="23"/>
  <c r="T10" i="23"/>
  <c r="AG19" i="23"/>
  <c r="AG21" i="23"/>
  <c r="AG10" i="22"/>
  <c r="AG9" i="22"/>
  <c r="AG6" i="22"/>
  <c r="B3" i="22"/>
  <c r="B5" i="22"/>
  <c r="A6" i="22"/>
  <c r="B4" i="22"/>
  <c r="T22" i="23"/>
  <c r="T21" i="23"/>
  <c r="T19" i="23"/>
  <c r="T13" i="23"/>
  <c r="T14" i="23"/>
  <c r="T7" i="23"/>
  <c r="B2" i="18"/>
  <c r="A7" i="22" l="1"/>
  <c r="B6" i="22"/>
  <c r="A3" i="13"/>
  <c r="A4" i="13" s="1"/>
  <c r="A5" i="13" s="1"/>
  <c r="E32" i="24"/>
  <c r="F32" i="24" s="1"/>
  <c r="C32" i="24"/>
  <c r="E31" i="24"/>
  <c r="G31" i="24" s="1"/>
  <c r="C31" i="24"/>
  <c r="C4" i="1"/>
  <c r="D21" i="24"/>
  <c r="D22" i="24"/>
  <c r="G44" i="25"/>
  <c r="C44" i="25"/>
  <c r="F44" i="25" s="1"/>
  <c r="D44" i="25"/>
  <c r="B44" i="25"/>
  <c r="E43" i="25"/>
  <c r="G43" i="25" s="1"/>
  <c r="D43" i="25"/>
  <c r="B43" i="25"/>
  <c r="G42" i="25"/>
  <c r="C42" i="25"/>
  <c r="B42" i="25" s="1"/>
  <c r="D42" i="25"/>
  <c r="E41" i="25"/>
  <c r="G41" i="25"/>
  <c r="F41" i="25"/>
  <c r="D41" i="25"/>
  <c r="B41" i="25"/>
  <c r="G39" i="25"/>
  <c r="E38" i="25"/>
  <c r="G38" i="25" s="1"/>
  <c r="D38" i="25"/>
  <c r="B38" i="25"/>
  <c r="G37" i="25"/>
  <c r="C37" i="25"/>
  <c r="B37" i="25" s="1"/>
  <c r="D37" i="25"/>
  <c r="E36" i="25"/>
  <c r="G36" i="25"/>
  <c r="F36" i="25"/>
  <c r="D36" i="25"/>
  <c r="B36" i="25"/>
  <c r="G34" i="25"/>
  <c r="G33" i="25"/>
  <c r="E32" i="25"/>
  <c r="G32" i="25"/>
  <c r="C32" i="25"/>
  <c r="F32" i="25"/>
  <c r="D32" i="25"/>
  <c r="B32" i="25"/>
  <c r="E31" i="25"/>
  <c r="F31" i="25" s="1"/>
  <c r="I16" i="25" s="1"/>
  <c r="G31" i="25"/>
  <c r="C31" i="25"/>
  <c r="D31" i="25"/>
  <c r="B31" i="25"/>
  <c r="G29" i="25"/>
  <c r="G28" i="25"/>
  <c r="E27" i="25"/>
  <c r="F27" i="25" s="1"/>
  <c r="G27" i="25"/>
  <c r="C27" i="25"/>
  <c r="D27" i="25"/>
  <c r="B27" i="25"/>
  <c r="F11" i="25"/>
  <c r="E26" i="25"/>
  <c r="F26" i="25" s="1"/>
  <c r="C26" i="25"/>
  <c r="B26" i="25" s="1"/>
  <c r="E11" i="25"/>
  <c r="D26" i="25"/>
  <c r="G24" i="25"/>
  <c r="G23" i="25"/>
  <c r="E22" i="25"/>
  <c r="F22" i="25" s="1"/>
  <c r="G22" i="25"/>
  <c r="C22" i="25"/>
  <c r="D22" i="25"/>
  <c r="B22" i="25"/>
  <c r="E21" i="25"/>
  <c r="G21" i="25"/>
  <c r="C21" i="25"/>
  <c r="B21" i="25" s="1"/>
  <c r="F21" i="25"/>
  <c r="D21" i="25"/>
  <c r="B18" i="25"/>
  <c r="E17" i="25"/>
  <c r="B17" i="25"/>
  <c r="D16" i="25"/>
  <c r="C16" i="25"/>
  <c r="B16" i="25"/>
  <c r="B15" i="25"/>
  <c r="B14" i="25"/>
  <c r="D11" i="25"/>
  <c r="C11" i="25"/>
  <c r="I10" i="25"/>
  <c r="G10" i="25"/>
  <c r="F10" i="25"/>
  <c r="E10" i="25"/>
  <c r="D10" i="25"/>
  <c r="C10" i="25"/>
  <c r="B9" i="25"/>
  <c r="B8" i="25"/>
  <c r="B7" i="25"/>
  <c r="B6" i="25"/>
  <c r="B5" i="25"/>
  <c r="C52" i="1"/>
  <c r="C42" i="1"/>
  <c r="C22" i="1"/>
  <c r="C23" i="1"/>
  <c r="C24" i="1"/>
  <c r="C25" i="1"/>
  <c r="C26" i="1"/>
  <c r="C27" i="1"/>
  <c r="C28" i="1"/>
  <c r="C29" i="1"/>
  <c r="C30" i="1"/>
  <c r="C31" i="1"/>
  <c r="C32" i="1"/>
  <c r="C33" i="1"/>
  <c r="C34" i="1"/>
  <c r="C35" i="1"/>
  <c r="C36" i="1"/>
  <c r="C37" i="1"/>
  <c r="C38" i="1"/>
  <c r="C39" i="1"/>
  <c r="C40" i="1"/>
  <c r="C41" i="1"/>
  <c r="C43" i="1"/>
  <c r="C44" i="1"/>
  <c r="C45" i="1"/>
  <c r="C46" i="1"/>
  <c r="C47" i="1"/>
  <c r="C48" i="1"/>
  <c r="C49" i="1"/>
  <c r="C50" i="1"/>
  <c r="C51"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14" i="1"/>
  <c r="D41" i="24"/>
  <c r="D43" i="24"/>
  <c r="D42" i="24"/>
  <c r="C42" i="24"/>
  <c r="B42" i="24" s="1"/>
  <c r="B41" i="24"/>
  <c r="B43" i="24"/>
  <c r="D44" i="24"/>
  <c r="C44" i="24"/>
  <c r="B44" i="24" s="1"/>
  <c r="D36" i="24"/>
  <c r="D38" i="24"/>
  <c r="D37" i="24"/>
  <c r="C37" i="24"/>
  <c r="B37" i="24" s="1"/>
  <c r="B36" i="24"/>
  <c r="B38" i="24"/>
  <c r="D31" i="24"/>
  <c r="D32" i="24"/>
  <c r="E36" i="24"/>
  <c r="G36" i="24" s="1"/>
  <c r="F37" i="24"/>
  <c r="F17" i="24" s="1"/>
  <c r="G37" i="24"/>
  <c r="E38" i="24"/>
  <c r="F38" i="24" s="1"/>
  <c r="G39" i="24"/>
  <c r="G34" i="24"/>
  <c r="E21" i="24"/>
  <c r="F21" i="24" s="1"/>
  <c r="C21" i="24"/>
  <c r="B21" i="24" s="1"/>
  <c r="E22" i="24"/>
  <c r="G22" i="24" s="1"/>
  <c r="C22" i="24"/>
  <c r="G24" i="24"/>
  <c r="G33" i="24"/>
  <c r="E17" i="24"/>
  <c r="G29" i="24"/>
  <c r="G28" i="24"/>
  <c r="G23" i="24"/>
  <c r="E41" i="24"/>
  <c r="G41" i="24" s="1"/>
  <c r="F11" i="24"/>
  <c r="E26" i="24" s="1"/>
  <c r="C26" i="24"/>
  <c r="G44" i="24"/>
  <c r="E43" i="24"/>
  <c r="F43" i="24" s="1"/>
  <c r="G42" i="24"/>
  <c r="E27" i="24"/>
  <c r="G27" i="24" s="1"/>
  <c r="C27" i="24"/>
  <c r="D11" i="24"/>
  <c r="B9" i="24"/>
  <c r="B8" i="24"/>
  <c r="B7" i="24"/>
  <c r="B6" i="24"/>
  <c r="B5" i="24"/>
  <c r="B15" i="24"/>
  <c r="B16" i="24"/>
  <c r="B17" i="24"/>
  <c r="B18" i="24"/>
  <c r="B14" i="24"/>
  <c r="A4" i="18"/>
  <c r="A5" i="18" s="1"/>
  <c r="E11" i="24"/>
  <c r="D26" i="24" s="1"/>
  <c r="B32" i="24"/>
  <c r="B31" i="24"/>
  <c r="B27" i="24"/>
  <c r="B26" i="24"/>
  <c r="D27" i="24"/>
  <c r="B22" i="24"/>
  <c r="G10" i="24"/>
  <c r="C10" i="24"/>
  <c r="E10" i="24"/>
  <c r="F10" i="24"/>
  <c r="D10" i="24"/>
  <c r="C11" i="24"/>
  <c r="I10" i="24"/>
  <c r="E2" i="13"/>
  <c r="K5" i="16"/>
  <c r="F5" i="12"/>
  <c r="E17" i="12" s="1"/>
  <c r="C3" i="13"/>
  <c r="E3" i="13"/>
  <c r="D16" i="12"/>
  <c r="G3" i="13" s="1"/>
  <c r="G6" i="13" s="1"/>
  <c r="C4" i="13"/>
  <c r="E4" i="13"/>
  <c r="D17" i="12"/>
  <c r="N29" i="13" s="1"/>
  <c r="N21" i="13"/>
  <c r="C5" i="13"/>
  <c r="E5" i="13"/>
  <c r="C6" i="13"/>
  <c r="E6" i="13"/>
  <c r="C7" i="13"/>
  <c r="E7" i="13"/>
  <c r="C8" i="13"/>
  <c r="E8" i="13"/>
  <c r="C9" i="13"/>
  <c r="E9" i="13"/>
  <c r="C10" i="13"/>
  <c r="E10" i="13"/>
  <c r="C11" i="13"/>
  <c r="E11" i="13"/>
  <c r="C12" i="13"/>
  <c r="E12" i="13"/>
  <c r="C13" i="13"/>
  <c r="E13" i="13"/>
  <c r="C14" i="13"/>
  <c r="E14" i="13"/>
  <c r="C15" i="13"/>
  <c r="E15" i="13"/>
  <c r="C16" i="13"/>
  <c r="E16" i="13"/>
  <c r="C17" i="13"/>
  <c r="E17" i="13"/>
  <c r="C18" i="13"/>
  <c r="E18" i="13"/>
  <c r="C19" i="13"/>
  <c r="E19" i="13"/>
  <c r="C20" i="13"/>
  <c r="E20" i="13"/>
  <c r="C21" i="13"/>
  <c r="E21" i="13"/>
  <c r="N23" i="13"/>
  <c r="C22" i="13"/>
  <c r="E22" i="13"/>
  <c r="C23" i="13"/>
  <c r="E23" i="13"/>
  <c r="C24" i="13"/>
  <c r="E24" i="13"/>
  <c r="C25" i="13"/>
  <c r="E25" i="13"/>
  <c r="C26" i="13"/>
  <c r="E26" i="13"/>
  <c r="C27" i="13"/>
  <c r="E27" i="13"/>
  <c r="C28" i="13"/>
  <c r="E28" i="13"/>
  <c r="C29" i="13"/>
  <c r="E29" i="13"/>
  <c r="B20" i="16"/>
  <c r="C20" i="16"/>
  <c r="D20" i="16"/>
  <c r="I20" i="16" s="1"/>
  <c r="J20" i="16" s="1"/>
  <c r="E20" i="16"/>
  <c r="F20" i="16"/>
  <c r="G20" i="16"/>
  <c r="H20" i="16"/>
  <c r="S473" i="18"/>
  <c r="D471" i="18"/>
  <c r="D453" i="18"/>
  <c r="D435" i="18"/>
  <c r="S418" i="18"/>
  <c r="D417" i="18"/>
  <c r="S401" i="18"/>
  <c r="D399" i="18"/>
  <c r="D381" i="18"/>
  <c r="D363" i="18"/>
  <c r="S346" i="18"/>
  <c r="D345" i="18"/>
  <c r="S329" i="18"/>
  <c r="D327" i="18"/>
  <c r="D309" i="18"/>
  <c r="D291" i="18"/>
  <c r="S275" i="18"/>
  <c r="D273" i="18"/>
  <c r="D255" i="18"/>
  <c r="D237" i="18"/>
  <c r="S220" i="18"/>
  <c r="D219" i="18"/>
  <c r="S203" i="18"/>
  <c r="D201" i="18"/>
  <c r="D183" i="18"/>
  <c r="D165" i="18"/>
  <c r="S148" i="18"/>
  <c r="D147" i="18"/>
  <c r="S131" i="18"/>
  <c r="D129" i="18"/>
  <c r="D111" i="18"/>
  <c r="D93" i="18"/>
  <c r="S76" i="18"/>
  <c r="D75" i="18"/>
  <c r="S59" i="18"/>
  <c r="D57" i="18"/>
  <c r="S42" i="18"/>
  <c r="D39" i="18"/>
  <c r="S25" i="18"/>
  <c r="D21" i="18"/>
  <c r="E12" i="12"/>
  <c r="E9" i="12"/>
  <c r="K4" i="16"/>
  <c r="B19" i="16"/>
  <c r="C19" i="16"/>
  <c r="D19" i="16"/>
  <c r="E19" i="16"/>
  <c r="F19" i="16"/>
  <c r="G19" i="16"/>
  <c r="H19" i="16"/>
  <c r="I19" i="16"/>
  <c r="J19" i="16" s="1"/>
  <c r="A3" i="23"/>
  <c r="A4" i="23" s="1"/>
  <c r="D3" i="18"/>
  <c r="AF29" i="23"/>
  <c r="AG29" i="23" s="1"/>
  <c r="AE29" i="23"/>
  <c r="S29" i="23"/>
  <c r="R29" i="23"/>
  <c r="T29" i="23" s="1"/>
  <c r="E29" i="23"/>
  <c r="C29" i="23"/>
  <c r="AE28" i="23"/>
  <c r="AG28" i="23" s="1"/>
  <c r="AF28" i="23"/>
  <c r="S28" i="23"/>
  <c r="R28" i="23"/>
  <c r="E28" i="23"/>
  <c r="C28" i="23"/>
  <c r="AF27" i="23"/>
  <c r="AG27" i="23" s="1"/>
  <c r="AE27" i="23"/>
  <c r="S27" i="23"/>
  <c r="R27" i="23"/>
  <c r="E27" i="23"/>
  <c r="C27" i="23"/>
  <c r="AF26" i="23"/>
  <c r="AE26" i="23"/>
  <c r="AG26" i="23" s="1"/>
  <c r="S26" i="23"/>
  <c r="T26" i="23" s="1"/>
  <c r="R26" i="23"/>
  <c r="E26" i="23"/>
  <c r="C26" i="23"/>
  <c r="AF25" i="23"/>
  <c r="AE25" i="23"/>
  <c r="AG25" i="23"/>
  <c r="R25" i="23"/>
  <c r="T25" i="23" s="1"/>
  <c r="S25" i="23"/>
  <c r="E25" i="23"/>
  <c r="C25" i="23"/>
  <c r="AF24" i="23"/>
  <c r="AE24" i="23"/>
  <c r="AG24" i="23"/>
  <c r="S24" i="23"/>
  <c r="R24" i="23"/>
  <c r="E24" i="23"/>
  <c r="C24" i="23"/>
  <c r="AF23" i="23"/>
  <c r="AE23" i="23"/>
  <c r="AG23" i="23" s="1"/>
  <c r="S23" i="23"/>
  <c r="R23" i="23"/>
  <c r="E23" i="23"/>
  <c r="C23" i="23"/>
  <c r="E22" i="23"/>
  <c r="C22" i="23"/>
  <c r="E21" i="23"/>
  <c r="C21" i="23"/>
  <c r="E20" i="23"/>
  <c r="C20" i="23"/>
  <c r="E19" i="23"/>
  <c r="C19" i="23"/>
  <c r="E18" i="23"/>
  <c r="C18" i="23"/>
  <c r="AF17" i="23"/>
  <c r="AE17" i="23"/>
  <c r="AG17" i="23"/>
  <c r="S17" i="23"/>
  <c r="R17" i="23"/>
  <c r="E17" i="23"/>
  <c r="C17" i="23"/>
  <c r="E16" i="23"/>
  <c r="C16" i="23"/>
  <c r="AF15" i="23"/>
  <c r="AE15" i="23"/>
  <c r="AG15" i="23" s="1"/>
  <c r="R15" i="23"/>
  <c r="S15" i="23"/>
  <c r="E15" i="23"/>
  <c r="C15" i="23"/>
  <c r="E14" i="23"/>
  <c r="C14" i="23"/>
  <c r="E13" i="23"/>
  <c r="C13" i="23"/>
  <c r="AF12" i="23"/>
  <c r="AE12" i="23"/>
  <c r="AG12" i="23" s="1"/>
  <c r="S12" i="23"/>
  <c r="R12" i="23"/>
  <c r="T12" i="23" s="1"/>
  <c r="E12" i="23"/>
  <c r="C12" i="23"/>
  <c r="E11" i="23"/>
  <c r="C11" i="23"/>
  <c r="E10" i="23"/>
  <c r="C10" i="23"/>
  <c r="E8" i="23"/>
  <c r="C8" i="23"/>
  <c r="AF5" i="23"/>
  <c r="AG5" i="23" s="1"/>
  <c r="AE5" i="23"/>
  <c r="S5" i="23"/>
  <c r="R5" i="23"/>
  <c r="T5" i="23" s="1"/>
  <c r="E5" i="23"/>
  <c r="C5" i="23"/>
  <c r="AF4" i="23"/>
  <c r="AE4" i="23"/>
  <c r="AG4" i="23" s="1"/>
  <c r="R4" i="23"/>
  <c r="S4" i="23"/>
  <c r="T4" i="23"/>
  <c r="E4" i="23"/>
  <c r="C4" i="23"/>
  <c r="AF3" i="23"/>
  <c r="AE3" i="23"/>
  <c r="AG3" i="23" s="1"/>
  <c r="S3" i="23"/>
  <c r="R3" i="23"/>
  <c r="E3" i="23"/>
  <c r="C3" i="23"/>
  <c r="B3" i="23"/>
  <c r="AF2" i="23"/>
  <c r="AE2" i="23"/>
  <c r="AG2" i="23" s="1"/>
  <c r="S2" i="23"/>
  <c r="T2" i="23" s="1"/>
  <c r="R2" i="23"/>
  <c r="E2" i="23"/>
  <c r="B2" i="23"/>
  <c r="AE18" i="22"/>
  <c r="AE2" i="22"/>
  <c r="AE29" i="22"/>
  <c r="AE28" i="22"/>
  <c r="AE27" i="22"/>
  <c r="AE26" i="22"/>
  <c r="AG26" i="22" s="1"/>
  <c r="AE25" i="22"/>
  <c r="AE24" i="22"/>
  <c r="AE23" i="22"/>
  <c r="AE22" i="22"/>
  <c r="AE21" i="22"/>
  <c r="AE19" i="22"/>
  <c r="AE16" i="22"/>
  <c r="AE14" i="22"/>
  <c r="AG14" i="22" s="1"/>
  <c r="AE13" i="22"/>
  <c r="AE11" i="22"/>
  <c r="AE5" i="22"/>
  <c r="AE4" i="22"/>
  <c r="AE3" i="22"/>
  <c r="T17" i="23"/>
  <c r="R10" i="22"/>
  <c r="S10" i="22"/>
  <c r="R8" i="22"/>
  <c r="T8" i="22" s="1"/>
  <c r="R5" i="22"/>
  <c r="R4" i="22"/>
  <c r="R3" i="22"/>
  <c r="T3" i="22" s="1"/>
  <c r="R2" i="22"/>
  <c r="S2" i="22"/>
  <c r="R12" i="22"/>
  <c r="T12" i="22" s="1"/>
  <c r="R13" i="22"/>
  <c r="T13" i="22" s="1"/>
  <c r="R14" i="22"/>
  <c r="R15" i="22"/>
  <c r="R16" i="22"/>
  <c r="R17" i="22"/>
  <c r="R18" i="22"/>
  <c r="R19" i="22"/>
  <c r="R20" i="22"/>
  <c r="T20" i="22" s="1"/>
  <c r="R21" i="22"/>
  <c r="T21" i="22" s="1"/>
  <c r="R22" i="22"/>
  <c r="R23" i="22"/>
  <c r="R24" i="22"/>
  <c r="T24" i="22" s="1"/>
  <c r="R25" i="22"/>
  <c r="R26" i="22"/>
  <c r="R27" i="22"/>
  <c r="R28" i="22"/>
  <c r="T28" i="22" s="1"/>
  <c r="R29" i="22"/>
  <c r="R11" i="22"/>
  <c r="T11" i="22" s="1"/>
  <c r="AF29" i="22"/>
  <c r="AG29" i="22"/>
  <c r="AF28" i="22"/>
  <c r="AG28" i="22" s="1"/>
  <c r="AF27" i="22"/>
  <c r="AG27" i="22"/>
  <c r="AF26" i="22"/>
  <c r="AF25" i="22"/>
  <c r="AF24" i="22"/>
  <c r="AG24" i="22" s="1"/>
  <c r="AF23" i="22"/>
  <c r="AF22" i="22"/>
  <c r="AG22" i="22" s="1"/>
  <c r="AF21" i="22"/>
  <c r="AF19" i="22"/>
  <c r="AG19" i="22"/>
  <c r="AF18" i="22"/>
  <c r="AF16" i="22"/>
  <c r="AF14" i="22"/>
  <c r="AF13" i="22"/>
  <c r="AF11" i="22"/>
  <c r="AF5" i="22"/>
  <c r="AF4" i="22"/>
  <c r="AF3" i="22"/>
  <c r="AF2" i="22"/>
  <c r="S3" i="22"/>
  <c r="S5" i="22"/>
  <c r="S8" i="22"/>
  <c r="S11" i="22"/>
  <c r="S12" i="22"/>
  <c r="S13" i="22"/>
  <c r="S14" i="22"/>
  <c r="S15" i="22"/>
  <c r="T15" i="22" s="1"/>
  <c r="S16" i="22"/>
  <c r="S17" i="22"/>
  <c r="S18" i="22"/>
  <c r="S19" i="22"/>
  <c r="S20" i="22"/>
  <c r="S21" i="22"/>
  <c r="S22" i="22"/>
  <c r="S23" i="22"/>
  <c r="S24" i="22"/>
  <c r="S25" i="22"/>
  <c r="S26" i="22"/>
  <c r="S27" i="22"/>
  <c r="T27" i="22" s="1"/>
  <c r="S28" i="22"/>
  <c r="S29" i="22"/>
  <c r="S4" i="22"/>
  <c r="AG25" i="22"/>
  <c r="AG2" i="22"/>
  <c r="T5" i="22"/>
  <c r="T25" i="22"/>
  <c r="T14" i="22"/>
  <c r="AG4" i="22"/>
  <c r="AG5" i="22"/>
  <c r="T4" i="22"/>
  <c r="AG13" i="22"/>
  <c r="M25" i="13"/>
  <c r="M24" i="13"/>
  <c r="M23" i="13"/>
  <c r="M22" i="13"/>
  <c r="N25" i="13"/>
  <c r="N24" i="13"/>
  <c r="N22" i="13"/>
  <c r="I13" i="16"/>
  <c r="J13" i="16"/>
  <c r="I14" i="16"/>
  <c r="J14" i="16"/>
  <c r="I15" i="16"/>
  <c r="J15" i="16" s="1"/>
  <c r="I8" i="16"/>
  <c r="J8" i="16" s="1"/>
  <c r="I9" i="16"/>
  <c r="J9" i="16"/>
  <c r="I10" i="16"/>
  <c r="J10" i="16"/>
  <c r="S6" i="18"/>
  <c r="C18" i="16"/>
  <c r="S382" i="18" s="1"/>
  <c r="D18" i="16"/>
  <c r="S365" i="18" s="1"/>
  <c r="E18" i="16"/>
  <c r="S348" i="18" s="1"/>
  <c r="F18" i="16"/>
  <c r="S475" i="18" s="1"/>
  <c r="G18" i="16"/>
  <c r="S458" i="18" s="1"/>
  <c r="H18" i="16"/>
  <c r="S441" i="18" s="1"/>
  <c r="B18" i="16"/>
  <c r="S399" i="18" s="1"/>
  <c r="S5" i="18"/>
  <c r="S4" i="18"/>
  <c r="S9" i="18"/>
  <c r="B3" i="18"/>
  <c r="N27" i="13"/>
  <c r="M21" i="13"/>
  <c r="P14" i="13"/>
  <c r="P15" i="13"/>
  <c r="P16" i="13"/>
  <c r="P17" i="13"/>
  <c r="P18" i="13"/>
  <c r="F30" i="13"/>
  <c r="K3" i="16"/>
  <c r="D18" i="12" s="1"/>
  <c r="D15" i="12"/>
  <c r="D14" i="12"/>
  <c r="D13" i="12"/>
  <c r="D12" i="12"/>
  <c r="D11" i="12"/>
  <c r="D10" i="12"/>
  <c r="D9" i="12"/>
  <c r="E16" i="12"/>
  <c r="F17" i="1"/>
  <c r="C17" i="1"/>
  <c r="D17" i="1"/>
  <c r="G17" i="1"/>
  <c r="D16" i="1"/>
  <c r="E16" i="1"/>
  <c r="G16" i="1"/>
  <c r="H17" i="1"/>
  <c r="E17" i="1"/>
  <c r="C16" i="1"/>
  <c r="F16" i="1"/>
  <c r="H16" i="1"/>
  <c r="F41" i="24" l="1"/>
  <c r="F31" i="24"/>
  <c r="G43" i="24"/>
  <c r="F16" i="12"/>
  <c r="G13" i="13"/>
  <c r="G19" i="13"/>
  <c r="G22" i="13"/>
  <c r="G9" i="13"/>
  <c r="AG23" i="22"/>
  <c r="T29" i="22"/>
  <c r="T26" i="22"/>
  <c r="AG21" i="22"/>
  <c r="AG18" i="22"/>
  <c r="AG16" i="22"/>
  <c r="T16" i="22"/>
  <c r="T2" i="22"/>
  <c r="T23" i="23"/>
  <c r="T27" i="23"/>
  <c r="T28" i="23"/>
  <c r="T24" i="23"/>
  <c r="T15" i="23"/>
  <c r="G2" i="13"/>
  <c r="D14" i="25"/>
  <c r="C14" i="25"/>
  <c r="C17" i="25"/>
  <c r="D17" i="25"/>
  <c r="H7" i="13"/>
  <c r="H10" i="13"/>
  <c r="H18" i="13"/>
  <c r="H23" i="13"/>
  <c r="H3" i="13"/>
  <c r="I3" i="13" s="1"/>
  <c r="H13" i="13"/>
  <c r="H26" i="13"/>
  <c r="H16" i="13"/>
  <c r="H21" i="13"/>
  <c r="F17" i="12"/>
  <c r="H11" i="13"/>
  <c r="H6" i="13"/>
  <c r="H14" i="13"/>
  <c r="H27" i="13"/>
  <c r="H22" i="13"/>
  <c r="H4" i="13"/>
  <c r="C15" i="25"/>
  <c r="D15" i="25"/>
  <c r="H18" i="25"/>
  <c r="G18" i="25"/>
  <c r="I15" i="25"/>
  <c r="D18" i="25"/>
  <c r="C18" i="25"/>
  <c r="J14" i="25"/>
  <c r="I14" i="25"/>
  <c r="T17" i="22"/>
  <c r="S45" i="18"/>
  <c r="S62" i="18"/>
  <c r="S79" i="18"/>
  <c r="S96" i="18"/>
  <c r="S113" i="18"/>
  <c r="S130" i="18"/>
  <c r="S147" i="18"/>
  <c r="S189" i="18"/>
  <c r="S206" i="18"/>
  <c r="S223" i="18"/>
  <c r="S240" i="18"/>
  <c r="S257" i="18"/>
  <c r="S274" i="18"/>
  <c r="S315" i="18"/>
  <c r="S332" i="18"/>
  <c r="S349" i="18"/>
  <c r="S366" i="18"/>
  <c r="S383" i="18"/>
  <c r="S400" i="18"/>
  <c r="S417" i="18"/>
  <c r="S459" i="18"/>
  <c r="S476" i="18"/>
  <c r="G26" i="25"/>
  <c r="J15" i="25" s="1"/>
  <c r="F37" i="25"/>
  <c r="F42" i="25"/>
  <c r="S63" i="18"/>
  <c r="S97" i="18"/>
  <c r="S207" i="18"/>
  <c r="S241" i="18"/>
  <c r="S350" i="18"/>
  <c r="S384" i="18"/>
  <c r="S435" i="18"/>
  <c r="S477" i="18"/>
  <c r="S3" i="18"/>
  <c r="T23" i="22"/>
  <c r="AG11" i="22"/>
  <c r="S22" i="18"/>
  <c r="S39" i="18"/>
  <c r="S81" i="18"/>
  <c r="S98" i="18"/>
  <c r="S115" i="18"/>
  <c r="S132" i="18"/>
  <c r="S149" i="18"/>
  <c r="S166" i="18"/>
  <c r="S183" i="18"/>
  <c r="S225" i="18"/>
  <c r="S242" i="18"/>
  <c r="S259" i="18"/>
  <c r="S276" i="18"/>
  <c r="S292" i="18"/>
  <c r="S309" i="18"/>
  <c r="S351" i="18"/>
  <c r="S368" i="18"/>
  <c r="S385" i="18"/>
  <c r="S402" i="18"/>
  <c r="S419" i="18"/>
  <c r="S436" i="18"/>
  <c r="S453" i="18"/>
  <c r="F22" i="24"/>
  <c r="F36" i="24"/>
  <c r="C17" i="24"/>
  <c r="S21" i="18"/>
  <c r="S80" i="18"/>
  <c r="S114" i="18"/>
  <c r="S165" i="18"/>
  <c r="S224" i="18"/>
  <c r="S258" i="18"/>
  <c r="S291" i="18"/>
  <c r="S333" i="18"/>
  <c r="S367" i="18"/>
  <c r="S8" i="18"/>
  <c r="T22" i="22"/>
  <c r="S23" i="18"/>
  <c r="S40" i="18"/>
  <c r="S57" i="18"/>
  <c r="S99" i="18"/>
  <c r="S116" i="18"/>
  <c r="S133" i="18"/>
  <c r="S150" i="18"/>
  <c r="S167" i="18"/>
  <c r="S184" i="18"/>
  <c r="S201" i="18"/>
  <c r="S243" i="18"/>
  <c r="S260" i="18"/>
  <c r="S277" i="18"/>
  <c r="S293" i="18"/>
  <c r="S310" i="18"/>
  <c r="S327" i="18"/>
  <c r="S369" i="18"/>
  <c r="S386" i="18"/>
  <c r="S403" i="18"/>
  <c r="S420" i="18"/>
  <c r="S437" i="18"/>
  <c r="S454" i="18"/>
  <c r="S471" i="18"/>
  <c r="E18" i="12"/>
  <c r="H9" i="13" s="1"/>
  <c r="I18" i="16"/>
  <c r="J18" i="16" s="1"/>
  <c r="S7" i="18"/>
  <c r="S24" i="18"/>
  <c r="S41" i="18"/>
  <c r="S58" i="18"/>
  <c r="S75" i="18"/>
  <c r="S117" i="18"/>
  <c r="S134" i="18"/>
  <c r="S151" i="18"/>
  <c r="S168" i="18"/>
  <c r="S185" i="18"/>
  <c r="S202" i="18"/>
  <c r="S219" i="18"/>
  <c r="S261" i="18"/>
  <c r="S278" i="18"/>
  <c r="S294" i="18"/>
  <c r="S311" i="18"/>
  <c r="S328" i="18"/>
  <c r="S345" i="18"/>
  <c r="S387" i="18"/>
  <c r="S404" i="18"/>
  <c r="S421" i="18"/>
  <c r="S438" i="18"/>
  <c r="S455" i="18"/>
  <c r="S472" i="18"/>
  <c r="S93" i="18"/>
  <c r="S135" i="18"/>
  <c r="S152" i="18"/>
  <c r="S169" i="18"/>
  <c r="S186" i="18"/>
  <c r="S237" i="18"/>
  <c r="S279" i="18"/>
  <c r="S295" i="18"/>
  <c r="S312" i="18"/>
  <c r="S363" i="18"/>
  <c r="S405" i="18"/>
  <c r="S422" i="18"/>
  <c r="S439" i="18"/>
  <c r="S456" i="18"/>
  <c r="F42" i="24"/>
  <c r="F44" i="24"/>
  <c r="F38" i="25"/>
  <c r="F43" i="25"/>
  <c r="T19" i="22"/>
  <c r="T10" i="22"/>
  <c r="T3" i="23"/>
  <c r="S26" i="18"/>
  <c r="S43" i="18"/>
  <c r="S60" i="18"/>
  <c r="S77" i="18"/>
  <c r="S94" i="18"/>
  <c r="S111" i="18"/>
  <c r="S153" i="18"/>
  <c r="S170" i="18"/>
  <c r="S187" i="18"/>
  <c r="S204" i="18"/>
  <c r="S221" i="18"/>
  <c r="S238" i="18"/>
  <c r="S255" i="18"/>
  <c r="S296" i="18"/>
  <c r="S313" i="18"/>
  <c r="S330" i="18"/>
  <c r="S347" i="18"/>
  <c r="S364" i="18"/>
  <c r="S381" i="18"/>
  <c r="S423" i="18"/>
  <c r="S440" i="18"/>
  <c r="S457" i="18"/>
  <c r="S474" i="18"/>
  <c r="AG3" i="22"/>
  <c r="S27" i="18"/>
  <c r="S44" i="18"/>
  <c r="S61" i="18"/>
  <c r="S78" i="18"/>
  <c r="S95" i="18"/>
  <c r="S112" i="18"/>
  <c r="S129" i="18"/>
  <c r="S171" i="18"/>
  <c r="S188" i="18"/>
  <c r="S205" i="18"/>
  <c r="S222" i="18"/>
  <c r="S239" i="18"/>
  <c r="S256" i="18"/>
  <c r="S273" i="18"/>
  <c r="S297" i="18"/>
  <c r="S314" i="18"/>
  <c r="S331" i="18"/>
  <c r="B4" i="18"/>
  <c r="D14" i="24"/>
  <c r="B19" i="1" s="1"/>
  <c r="N30" i="13"/>
  <c r="K34" i="13" s="1"/>
  <c r="G7" i="13" s="1"/>
  <c r="T18" i="22"/>
  <c r="B3" i="13"/>
  <c r="B4" i="13"/>
  <c r="A5" i="23"/>
  <c r="B4" i="23"/>
  <c r="B7" i="22"/>
  <c r="A8" i="22"/>
  <c r="D15" i="24"/>
  <c r="C15" i="24"/>
  <c r="C14" i="24"/>
  <c r="P24" i="13"/>
  <c r="P22" i="13"/>
  <c r="G25" i="13"/>
  <c r="P25" i="13"/>
  <c r="G5" i="13"/>
  <c r="P23" i="13"/>
  <c r="D18" i="24"/>
  <c r="C18" i="24"/>
  <c r="D17" i="24"/>
  <c r="D16" i="24"/>
  <c r="I18" i="24"/>
  <c r="J18" i="24"/>
  <c r="F27" i="24"/>
  <c r="G32" i="24"/>
  <c r="J16" i="24" s="1"/>
  <c r="C16" i="24"/>
  <c r="G38" i="24"/>
  <c r="F26" i="24"/>
  <c r="G26" i="24"/>
  <c r="G21" i="24"/>
  <c r="A6" i="18"/>
  <c r="B5" i="18"/>
  <c r="P21" i="13"/>
  <c r="B5" i="13"/>
  <c r="A6" i="13"/>
  <c r="I17" i="24" l="1"/>
  <c r="J14" i="24"/>
  <c r="J7" i="1" s="1"/>
  <c r="G10" i="13"/>
  <c r="G11" i="13" s="1"/>
  <c r="G8" i="13"/>
  <c r="H19" i="13"/>
  <c r="I9" i="13"/>
  <c r="C5" i="1"/>
  <c r="X24" i="22" s="1"/>
  <c r="F29" i="25"/>
  <c r="F28" i="25"/>
  <c r="I25" i="13"/>
  <c r="E18" i="24"/>
  <c r="F18" i="24"/>
  <c r="H15" i="13"/>
  <c r="H28" i="13"/>
  <c r="H5" i="13"/>
  <c r="I5" i="13" s="1"/>
  <c r="H8" i="13"/>
  <c r="H29" i="13"/>
  <c r="H24" i="13"/>
  <c r="H2" i="13"/>
  <c r="I2" i="13" s="1"/>
  <c r="H17" i="13"/>
  <c r="H12" i="13"/>
  <c r="H20" i="13"/>
  <c r="H25" i="13"/>
  <c r="J16" i="25"/>
  <c r="J17" i="25"/>
  <c r="F17" i="25"/>
  <c r="I17" i="25"/>
  <c r="F39" i="25" s="1"/>
  <c r="F23" i="25"/>
  <c r="F24" i="25"/>
  <c r="G18" i="24"/>
  <c r="H18" i="24"/>
  <c r="W423" i="18"/>
  <c r="W153" i="18"/>
  <c r="W405" i="18"/>
  <c r="W279" i="18"/>
  <c r="W135" i="18"/>
  <c r="W387" i="18"/>
  <c r="W261" i="18"/>
  <c r="W117" i="18"/>
  <c r="W9" i="18"/>
  <c r="W369" i="18"/>
  <c r="W243" i="18"/>
  <c r="W99" i="18"/>
  <c r="W351" i="18"/>
  <c r="W225" i="18"/>
  <c r="W81" i="18"/>
  <c r="W459" i="18"/>
  <c r="W189" i="18"/>
  <c r="W45" i="18"/>
  <c r="W477" i="18"/>
  <c r="W333" i="18"/>
  <c r="W207" i="18"/>
  <c r="W63" i="18"/>
  <c r="W315" i="18"/>
  <c r="W441" i="18"/>
  <c r="W297" i="18"/>
  <c r="W171" i="18"/>
  <c r="W27" i="18"/>
  <c r="E18" i="25"/>
  <c r="J18" i="25"/>
  <c r="I18" i="25"/>
  <c r="F18" i="25"/>
  <c r="K33" i="13"/>
  <c r="G4" i="13" s="1"/>
  <c r="I4" i="13" s="1"/>
  <c r="F18" i="12"/>
  <c r="A6" i="23"/>
  <c r="B5" i="23"/>
  <c r="A9" i="22"/>
  <c r="B8" i="22"/>
  <c r="G16" i="13"/>
  <c r="K35" i="13"/>
  <c r="I16" i="24"/>
  <c r="J17" i="24"/>
  <c r="F39" i="24" s="1"/>
  <c r="I14" i="24"/>
  <c r="J15" i="24"/>
  <c r="I15" i="24"/>
  <c r="A7" i="18"/>
  <c r="B6" i="18"/>
  <c r="I6" i="13"/>
  <c r="B6" i="13"/>
  <c r="A7" i="13"/>
  <c r="I10" i="13" l="1"/>
  <c r="G12" i="13"/>
  <c r="G14" i="13"/>
  <c r="G15" i="13" s="1"/>
  <c r="X4" i="22"/>
  <c r="AD4" i="22" s="1"/>
  <c r="X5" i="22"/>
  <c r="AD5" i="22" s="1"/>
  <c r="D32" i="1"/>
  <c r="E32" i="1" s="1"/>
  <c r="X24" i="23"/>
  <c r="AD24" i="23" s="1"/>
  <c r="D69" i="1"/>
  <c r="E69" i="1" s="1"/>
  <c r="D70" i="1"/>
  <c r="E70" i="1" s="1"/>
  <c r="D73" i="1"/>
  <c r="E73" i="1" s="1"/>
  <c r="D50" i="1"/>
  <c r="E50" i="1" s="1"/>
  <c r="F7" i="1"/>
  <c r="F11" i="1" s="1"/>
  <c r="D71" i="1"/>
  <c r="E71" i="1" s="1"/>
  <c r="G7" i="1"/>
  <c r="G11" i="1" s="1"/>
  <c r="C7" i="1"/>
  <c r="C11" i="1" s="1"/>
  <c r="D43" i="1"/>
  <c r="E43" i="1" s="1"/>
  <c r="D26" i="1"/>
  <c r="E26" i="1" s="1"/>
  <c r="D61" i="1"/>
  <c r="E61" i="1" s="1"/>
  <c r="D59" i="1"/>
  <c r="E59" i="1" s="1"/>
  <c r="X5" i="23"/>
  <c r="AD5" i="23" s="1"/>
  <c r="D82" i="1"/>
  <c r="E82" i="1" s="1"/>
  <c r="D64" i="1"/>
  <c r="E64" i="1" s="1"/>
  <c r="K3" i="22"/>
  <c r="Q3" i="22" s="1"/>
  <c r="X12" i="23"/>
  <c r="AD12" i="23" s="1"/>
  <c r="D29" i="1"/>
  <c r="E29" i="1" s="1"/>
  <c r="D75" i="1"/>
  <c r="E75" i="1" s="1"/>
  <c r="D68" i="1"/>
  <c r="E68" i="1" s="1"/>
  <c r="K4" i="22"/>
  <c r="Q4" i="22" s="1"/>
  <c r="X2" i="23"/>
  <c r="AD2" i="23" s="1"/>
  <c r="E7" i="1"/>
  <c r="E11" i="1" s="1"/>
  <c r="D47" i="1"/>
  <c r="E47" i="1" s="1"/>
  <c r="D28" i="1"/>
  <c r="E28" i="1" s="1"/>
  <c r="X25" i="22"/>
  <c r="AD25" i="22" s="1"/>
  <c r="D77" i="1"/>
  <c r="E77" i="1" s="1"/>
  <c r="D63" i="1"/>
  <c r="E63" i="1" s="1"/>
  <c r="X23" i="23"/>
  <c r="AD23" i="23" s="1"/>
  <c r="D62" i="1"/>
  <c r="X21" i="22" s="1"/>
  <c r="W21" i="22" s="1"/>
  <c r="AD21" i="22" s="1"/>
  <c r="D36" i="1"/>
  <c r="E36" i="1" s="1"/>
  <c r="D55" i="1"/>
  <c r="E55" i="1" s="1"/>
  <c r="K4" i="23"/>
  <c r="Q4" i="23" s="1"/>
  <c r="D79" i="1"/>
  <c r="E79" i="1" s="1"/>
  <c r="D24" i="1"/>
  <c r="E24" i="1" s="1"/>
  <c r="D53" i="1"/>
  <c r="E53" i="1" s="1"/>
  <c r="K5" i="22"/>
  <c r="Q5" i="22" s="1"/>
  <c r="D44" i="1"/>
  <c r="E44" i="1" s="1"/>
  <c r="D48" i="1"/>
  <c r="E48" i="1" s="1"/>
  <c r="D49" i="1"/>
  <c r="E49" i="1" s="1"/>
  <c r="D57" i="1"/>
  <c r="E57" i="1" s="1"/>
  <c r="X4" i="23"/>
  <c r="AD4" i="23" s="1"/>
  <c r="D37" i="1"/>
  <c r="G8" i="1" s="1"/>
  <c r="H7" i="1" s="1"/>
  <c r="H11" i="1" s="1"/>
  <c r="X26" i="23"/>
  <c r="W26" i="23" s="1"/>
  <c r="D52" i="1"/>
  <c r="K12" i="23" s="1"/>
  <c r="J12" i="23" s="1"/>
  <c r="X15" i="23"/>
  <c r="AD15" i="23" s="1"/>
  <c r="D33" i="1"/>
  <c r="E33" i="1" s="1"/>
  <c r="D58" i="1"/>
  <c r="E58" i="1" s="1"/>
  <c r="C8" i="1"/>
  <c r="C12" i="1" s="1"/>
  <c r="D66" i="1"/>
  <c r="E66" i="1" s="1"/>
  <c r="D27" i="1"/>
  <c r="D23" i="1"/>
  <c r="E23" i="1" s="1"/>
  <c r="D46" i="1"/>
  <c r="E46" i="1" s="1"/>
  <c r="K25" i="22"/>
  <c r="Q25" i="22" s="1"/>
  <c r="D51" i="1"/>
  <c r="E51" i="1" s="1"/>
  <c r="D67" i="1"/>
  <c r="E67" i="1" s="1"/>
  <c r="D56" i="1"/>
  <c r="E56" i="1" s="1"/>
  <c r="D30" i="1"/>
  <c r="E30" i="1" s="1"/>
  <c r="D25" i="1"/>
  <c r="E25" i="1" s="1"/>
  <c r="D31" i="1"/>
  <c r="E31" i="1" s="1"/>
  <c r="D54" i="1"/>
  <c r="E54" i="1" s="1"/>
  <c r="K12" i="22"/>
  <c r="Q12" i="22" s="1"/>
  <c r="D22" i="1"/>
  <c r="E22" i="1" s="1"/>
  <c r="D81" i="1"/>
  <c r="E81" i="1" s="1"/>
  <c r="D78" i="1"/>
  <c r="E78" i="1" s="1"/>
  <c r="D41" i="1"/>
  <c r="E41" i="1" s="1"/>
  <c r="D80" i="1"/>
  <c r="E80" i="1" s="1"/>
  <c r="D7" i="1"/>
  <c r="D11" i="1" s="1"/>
  <c r="F8" i="1"/>
  <c r="F12" i="1" s="1"/>
  <c r="D8" i="1"/>
  <c r="D12" i="1" s="1"/>
  <c r="M14" i="1"/>
  <c r="X28" i="23"/>
  <c r="AD28" i="23" s="1"/>
  <c r="K25" i="23"/>
  <c r="Q25" i="23" s="1"/>
  <c r="X21" i="23"/>
  <c r="AD21" i="23" s="1"/>
  <c r="D76" i="1"/>
  <c r="E76" i="1" s="1"/>
  <c r="D40" i="1"/>
  <c r="E40" i="1" s="1"/>
  <c r="K3" i="23"/>
  <c r="Q3" i="23" s="1"/>
  <c r="X29" i="22"/>
  <c r="AD29" i="22" s="1"/>
  <c r="D72" i="1"/>
  <c r="E72" i="1" s="1"/>
  <c r="D45" i="1"/>
  <c r="E45" i="1" s="1"/>
  <c r="K2" i="23"/>
  <c r="Q2" i="23" s="1"/>
  <c r="D35" i="1"/>
  <c r="E35" i="1" s="1"/>
  <c r="X25" i="23"/>
  <c r="AD25" i="23" s="1"/>
  <c r="D38" i="1"/>
  <c r="E38" i="1" s="1"/>
  <c r="D65" i="1"/>
  <c r="E65" i="1" s="1"/>
  <c r="D42" i="1"/>
  <c r="X3" i="22" s="1"/>
  <c r="AD3" i="22" s="1"/>
  <c r="K5" i="23"/>
  <c r="Q5" i="23" s="1"/>
  <c r="X26" i="22"/>
  <c r="W26" i="22" s="1"/>
  <c r="AD26" i="22" s="1"/>
  <c r="D74" i="1"/>
  <c r="E74" i="1" s="1"/>
  <c r="D34" i="1"/>
  <c r="E34" i="1" s="1"/>
  <c r="X27" i="23"/>
  <c r="W27" i="23" s="1"/>
  <c r="D39" i="1"/>
  <c r="E39" i="1" s="1"/>
  <c r="X29" i="23"/>
  <c r="AD29" i="23" s="1"/>
  <c r="D60" i="1"/>
  <c r="E60" i="1" s="1"/>
  <c r="E8" i="1"/>
  <c r="E12" i="1" s="1"/>
  <c r="X8" i="23"/>
  <c r="AD8" i="23" s="1"/>
  <c r="K8" i="22"/>
  <c r="Q8" i="22" s="1"/>
  <c r="X19" i="23"/>
  <c r="AD19" i="23" s="1"/>
  <c r="X20" i="23"/>
  <c r="AD20" i="23" s="1"/>
  <c r="X22" i="23"/>
  <c r="AD22" i="23" s="1"/>
  <c r="K20" i="23"/>
  <c r="J20" i="23" s="1"/>
  <c r="K19" i="23"/>
  <c r="Q19" i="23" s="1"/>
  <c r="K28" i="23"/>
  <c r="J28" i="23" s="1"/>
  <c r="K24" i="23"/>
  <c r="J24" i="23" s="1"/>
  <c r="X18" i="23"/>
  <c r="AD18" i="23" s="1"/>
  <c r="K2" i="22"/>
  <c r="Q2" i="22" s="1"/>
  <c r="K23" i="23"/>
  <c r="K17" i="23"/>
  <c r="J17" i="23" s="1"/>
  <c r="K17" i="22"/>
  <c r="J17" i="22" s="1"/>
  <c r="K21" i="23"/>
  <c r="J21" i="23" s="1"/>
  <c r="K18" i="22"/>
  <c r="J18" i="22" s="1"/>
  <c r="K16" i="22"/>
  <c r="K26" i="23"/>
  <c r="J26" i="23" s="1"/>
  <c r="K23" i="22"/>
  <c r="Q23" i="22" s="1"/>
  <c r="K20" i="22"/>
  <c r="J20" i="22" s="1"/>
  <c r="K21" i="22"/>
  <c r="J21" i="22" s="1"/>
  <c r="K24" i="22"/>
  <c r="J24" i="22" s="1"/>
  <c r="K27" i="22"/>
  <c r="Q27" i="22" s="1"/>
  <c r="K28" i="22"/>
  <c r="K29" i="22"/>
  <c r="J29" i="22" s="1"/>
  <c r="Q29" i="22" s="1"/>
  <c r="K19" i="22"/>
  <c r="X23" i="22"/>
  <c r="K18" i="23"/>
  <c r="J18" i="23" s="1"/>
  <c r="K29" i="23"/>
  <c r="J29" i="23" s="1"/>
  <c r="Q29" i="23" s="1"/>
  <c r="K22" i="22"/>
  <c r="Q22" i="22" s="1"/>
  <c r="X28" i="22"/>
  <c r="L14" i="1"/>
  <c r="K14" i="1" s="1"/>
  <c r="E14" i="25"/>
  <c r="F14" i="25"/>
  <c r="G17" i="25"/>
  <c r="H17" i="25"/>
  <c r="E15" i="25"/>
  <c r="F15" i="25"/>
  <c r="F33" i="25"/>
  <c r="F34" i="25"/>
  <c r="G15" i="25"/>
  <c r="H15" i="25"/>
  <c r="G14" i="25"/>
  <c r="H14" i="25"/>
  <c r="J9" i="22"/>
  <c r="B6" i="23"/>
  <c r="A7" i="23"/>
  <c r="B9" i="22"/>
  <c r="A10" i="22"/>
  <c r="I19" i="13"/>
  <c r="I13" i="13"/>
  <c r="F34" i="24"/>
  <c r="F33" i="24"/>
  <c r="G17" i="24"/>
  <c r="H17" i="24"/>
  <c r="F28" i="24"/>
  <c r="F29" i="24"/>
  <c r="F23" i="24"/>
  <c r="F24" i="24"/>
  <c r="I7" i="1"/>
  <c r="B7" i="18"/>
  <c r="A8" i="18"/>
  <c r="I16" i="13"/>
  <c r="I7" i="13"/>
  <c r="A8" i="13"/>
  <c r="B7" i="13"/>
  <c r="K26" i="22" l="1"/>
  <c r="J26" i="22" s="1"/>
  <c r="X27" i="22"/>
  <c r="W27" i="22" s="1"/>
  <c r="AD27" i="22" s="1"/>
  <c r="X2" i="22"/>
  <c r="AD2" i="22" s="1"/>
  <c r="X14" i="22"/>
  <c r="I15" i="13"/>
  <c r="G17" i="13"/>
  <c r="I17" i="13" s="1"/>
  <c r="G18" i="13"/>
  <c r="I12" i="13"/>
  <c r="AD26" i="23"/>
  <c r="K8" i="23"/>
  <c r="J8" i="23" s="1"/>
  <c r="Q8" i="23" s="1"/>
  <c r="K27" i="23"/>
  <c r="J27" i="23" s="1"/>
  <c r="Q27" i="23" s="1"/>
  <c r="K14" i="23"/>
  <c r="E27" i="1"/>
  <c r="K11" i="23"/>
  <c r="J11" i="23" s="1"/>
  <c r="Q11" i="23" s="1"/>
  <c r="Q12" i="23"/>
  <c r="Q20" i="23"/>
  <c r="K6" i="23"/>
  <c r="J6" i="23" s="1"/>
  <c r="E52" i="1"/>
  <c r="K7" i="23"/>
  <c r="J7" i="23" s="1"/>
  <c r="Q7" i="23" s="1"/>
  <c r="X6" i="23"/>
  <c r="W6" i="23" s="1"/>
  <c r="X20" i="22"/>
  <c r="W20" i="22" s="1"/>
  <c r="X11" i="23"/>
  <c r="W11" i="23" s="1"/>
  <c r="AD11" i="23" s="1"/>
  <c r="X9" i="23"/>
  <c r="W9" i="23" s="1"/>
  <c r="AD9" i="23" s="1"/>
  <c r="E62" i="1"/>
  <c r="X18" i="22"/>
  <c r="W18" i="22" s="1"/>
  <c r="X10" i="23"/>
  <c r="W10" i="23" s="1"/>
  <c r="AD10" i="23" s="1"/>
  <c r="X17" i="22"/>
  <c r="W17" i="22" s="1"/>
  <c r="X7" i="23"/>
  <c r="W7" i="23" s="1"/>
  <c r="AD7" i="23" s="1"/>
  <c r="H8" i="1"/>
  <c r="H12" i="1" s="1"/>
  <c r="E37" i="1"/>
  <c r="G12" i="1"/>
  <c r="AD27" i="23"/>
  <c r="X8" i="22"/>
  <c r="W8" i="22" s="1"/>
  <c r="AD8" i="22" s="1"/>
  <c r="K7" i="22"/>
  <c r="J7" i="22" s="1"/>
  <c r="Q7" i="22" s="1"/>
  <c r="K11" i="22"/>
  <c r="J11" i="22" s="1"/>
  <c r="K10" i="23"/>
  <c r="J10" i="23" s="1"/>
  <c r="Q10" i="23" s="1"/>
  <c r="X7" i="22"/>
  <c r="W7" i="22" s="1"/>
  <c r="X3" i="23"/>
  <c r="W3" i="23" s="1"/>
  <c r="AD3" i="23" s="1"/>
  <c r="X6" i="22"/>
  <c r="W6" i="22" s="1"/>
  <c r="AD6" i="22" s="1"/>
  <c r="X11" i="22"/>
  <c r="W11" i="22" s="1"/>
  <c r="X12" i="22"/>
  <c r="W12" i="22" s="1"/>
  <c r="AD12" i="22" s="1"/>
  <c r="X10" i="22"/>
  <c r="W10" i="22" s="1"/>
  <c r="AD10" i="22" s="1"/>
  <c r="K6" i="22"/>
  <c r="J6" i="22" s="1"/>
  <c r="Q6" i="22" s="1"/>
  <c r="E42" i="1"/>
  <c r="K10" i="22"/>
  <c r="J10" i="22" s="1"/>
  <c r="Q28" i="23"/>
  <c r="Q21" i="23"/>
  <c r="Q18" i="22"/>
  <c r="Q24" i="22"/>
  <c r="Q26" i="23"/>
  <c r="Q18" i="23"/>
  <c r="J28" i="22"/>
  <c r="Q28" i="22" s="1"/>
  <c r="W28" i="22"/>
  <c r="AD28" i="22" s="1"/>
  <c r="W23" i="22"/>
  <c r="AD23" i="22" s="1"/>
  <c r="G16" i="25"/>
  <c r="H16" i="25"/>
  <c r="E16" i="25"/>
  <c r="F16" i="25"/>
  <c r="W19" i="22"/>
  <c r="AD19" i="22" s="1"/>
  <c r="Q9" i="22"/>
  <c r="W9" i="22"/>
  <c r="AD9" i="22" s="1"/>
  <c r="B7" i="23"/>
  <c r="A8" i="23"/>
  <c r="A11" i="22"/>
  <c r="B10" i="22"/>
  <c r="J9" i="23"/>
  <c r="Q9" i="23" s="1"/>
  <c r="I11" i="13"/>
  <c r="I22" i="13"/>
  <c r="F16" i="24"/>
  <c r="E16" i="24"/>
  <c r="H16" i="24"/>
  <c r="G16" i="24"/>
  <c r="H14" i="24"/>
  <c r="G14" i="24"/>
  <c r="E14" i="24"/>
  <c r="F14" i="24"/>
  <c r="J9" i="1"/>
  <c r="J10" i="1"/>
  <c r="J13" i="1"/>
  <c r="J11" i="1"/>
  <c r="J12" i="1"/>
  <c r="H15" i="24"/>
  <c r="G15" i="24"/>
  <c r="E15" i="24"/>
  <c r="F15" i="24"/>
  <c r="A9" i="18"/>
  <c r="B8" i="18"/>
  <c r="I8" i="13"/>
  <c r="I14" i="13"/>
  <c r="B8" i="13"/>
  <c r="A9" i="13"/>
  <c r="Q26" i="22" l="1"/>
  <c r="AD6" i="23"/>
  <c r="G20" i="13"/>
  <c r="G21" i="13" s="1"/>
  <c r="I18" i="13"/>
  <c r="AD11" i="22"/>
  <c r="Q6" i="23"/>
  <c r="AD7" i="22"/>
  <c r="Q10" i="22"/>
  <c r="AD20" i="22"/>
  <c r="Q11" i="22"/>
  <c r="B8" i="23"/>
  <c r="A9" i="23"/>
  <c r="B11" i="22"/>
  <c r="A12" i="22"/>
  <c r="M13" i="1"/>
  <c r="K13" i="1"/>
  <c r="L13" i="1" s="1"/>
  <c r="K10" i="1"/>
  <c r="L10" i="1" s="1"/>
  <c r="M10" i="1"/>
  <c r="M9" i="1"/>
  <c r="K9" i="1"/>
  <c r="L9" i="1" s="1"/>
  <c r="M11" i="1"/>
  <c r="K11" i="1"/>
  <c r="L11" i="1" s="1"/>
  <c r="M12" i="1"/>
  <c r="K12" i="1"/>
  <c r="L12" i="1" s="1"/>
  <c r="B9" i="18"/>
  <c r="A21" i="18"/>
  <c r="A10" i="13"/>
  <c r="B9" i="13"/>
  <c r="X22" i="22" l="1"/>
  <c r="K22" i="23"/>
  <c r="G23" i="13"/>
  <c r="I21" i="13"/>
  <c r="I20" i="13"/>
  <c r="K15" i="22"/>
  <c r="J15" i="22" s="1"/>
  <c r="Q15" i="22" s="1"/>
  <c r="X15" i="22"/>
  <c r="AD15" i="22" s="1"/>
  <c r="J22" i="23"/>
  <c r="Q22" i="23" s="1"/>
  <c r="K16" i="23"/>
  <c r="K15" i="23"/>
  <c r="Q15" i="23" s="1"/>
  <c r="W13" i="22"/>
  <c r="AD13" i="22" s="1"/>
  <c r="W14" i="22"/>
  <c r="AD14" i="22" s="1"/>
  <c r="X16" i="22"/>
  <c r="W16" i="22" s="1"/>
  <c r="AD16" i="22" s="1"/>
  <c r="K14" i="22"/>
  <c r="J14" i="22" s="1"/>
  <c r="A10" i="23"/>
  <c r="B9" i="23"/>
  <c r="A13" i="22"/>
  <c r="B12" i="22"/>
  <c r="X16" i="23"/>
  <c r="X13" i="23"/>
  <c r="X14" i="23"/>
  <c r="Q16" i="22"/>
  <c r="AD18" i="22"/>
  <c r="X17" i="23"/>
  <c r="W17" i="23" s="1"/>
  <c r="AD17" i="23" s="1"/>
  <c r="AD22" i="22"/>
  <c r="Q20" i="22"/>
  <c r="Q21" i="22"/>
  <c r="B20" i="18"/>
  <c r="A22" i="18"/>
  <c r="B21" i="18"/>
  <c r="A11" i="13"/>
  <c r="B10" i="13"/>
  <c r="G26" i="13" l="1"/>
  <c r="G24" i="13"/>
  <c r="I23" i="13"/>
  <c r="W24" i="22"/>
  <c r="AD24" i="22" s="1"/>
  <c r="AD17" i="22"/>
  <c r="Q17" i="22"/>
  <c r="Q14" i="22"/>
  <c r="B10" i="23"/>
  <c r="A11" i="23"/>
  <c r="B13" i="22"/>
  <c r="A14" i="22"/>
  <c r="W16" i="23"/>
  <c r="AD16" i="23" s="1"/>
  <c r="J16" i="23"/>
  <c r="Q16" i="23" s="1"/>
  <c r="W13" i="23"/>
  <c r="AD13" i="23" s="1"/>
  <c r="W14" i="23"/>
  <c r="AD14" i="23" s="1"/>
  <c r="Q13" i="23"/>
  <c r="J14" i="23"/>
  <c r="Q14" i="23" s="1"/>
  <c r="Q24" i="23"/>
  <c r="Q17" i="23"/>
  <c r="A23" i="18"/>
  <c r="B22" i="18"/>
  <c r="A12" i="13"/>
  <c r="B11" i="13"/>
  <c r="G27" i="13" l="1"/>
  <c r="I26" i="13"/>
  <c r="I24" i="13"/>
  <c r="B11" i="23"/>
  <c r="A12" i="23"/>
  <c r="A15" i="22"/>
  <c r="B14" i="22"/>
  <c r="A24" i="18"/>
  <c r="B23" i="18"/>
  <c r="A13" i="13"/>
  <c r="B12" i="13"/>
  <c r="G28" i="13" l="1"/>
  <c r="I27" i="13"/>
  <c r="A13" i="23"/>
  <c r="B12" i="23"/>
  <c r="B15" i="22"/>
  <c r="A16" i="22"/>
  <c r="B24" i="18"/>
  <c r="A25" i="18"/>
  <c r="A14" i="13"/>
  <c r="B13" i="13"/>
  <c r="G29" i="13" l="1"/>
  <c r="I29" i="13" s="1"/>
  <c r="I28" i="13"/>
  <c r="G30" i="13"/>
  <c r="B13" i="23"/>
  <c r="A14" i="23"/>
  <c r="A17" i="22"/>
  <c r="B16" i="22"/>
  <c r="A26" i="18"/>
  <c r="B25" i="18"/>
  <c r="A15" i="13"/>
  <c r="B14" i="13"/>
  <c r="G31" i="13" l="1"/>
  <c r="A15" i="23"/>
  <c r="B14" i="23"/>
  <c r="B17" i="22"/>
  <c r="A18" i="22"/>
  <c r="A27" i="18"/>
  <c r="B26" i="18"/>
  <c r="T26" i="18"/>
  <c r="A16" i="18"/>
  <c r="G33" i="18"/>
  <c r="G30" i="18"/>
  <c r="T8" i="18"/>
  <c r="A12" i="18"/>
  <c r="A30" i="18"/>
  <c r="G15" i="18"/>
  <c r="A34" i="18"/>
  <c r="G12" i="18"/>
  <c r="F8" i="18"/>
  <c r="H8" i="18" s="1"/>
  <c r="F26" i="18"/>
  <c r="H26" i="18" s="1"/>
  <c r="A16" i="13"/>
  <c r="E1" i="18"/>
  <c r="E19" i="18"/>
  <c r="B15" i="13"/>
  <c r="C19" i="18"/>
  <c r="C1" i="18"/>
  <c r="A1" i="18"/>
  <c r="A19" i="18"/>
  <c r="V9" i="18"/>
  <c r="X9" i="18" s="1"/>
  <c r="V27" i="18"/>
  <c r="X27" i="18" s="1"/>
  <c r="B15" i="23" l="1"/>
  <c r="A16" i="23"/>
  <c r="A19" i="22"/>
  <c r="B18" i="22"/>
  <c r="B27" i="18"/>
  <c r="A39" i="18"/>
  <c r="E24" i="18"/>
  <c r="Y25" i="18"/>
  <c r="D24" i="18"/>
  <c r="E22" i="18"/>
  <c r="E27" i="18"/>
  <c r="E25" i="18"/>
  <c r="Y22" i="18"/>
  <c r="Y23" i="18"/>
  <c r="Y24" i="18"/>
  <c r="E26" i="18"/>
  <c r="Y21" i="18"/>
  <c r="Y26" i="18"/>
  <c r="C26" i="18" s="1"/>
  <c r="A33" i="18" s="1"/>
  <c r="Y27" i="18"/>
  <c r="E23" i="18"/>
  <c r="E21" i="18"/>
  <c r="E9" i="18"/>
  <c r="Y6" i="18"/>
  <c r="E4" i="18"/>
  <c r="Y7" i="18"/>
  <c r="Y5" i="18"/>
  <c r="Y4" i="18"/>
  <c r="D6" i="18"/>
  <c r="E3" i="18"/>
  <c r="E7" i="18"/>
  <c r="E6" i="18"/>
  <c r="Y3" i="18"/>
  <c r="E5" i="18"/>
  <c r="E8" i="18"/>
  <c r="Y8" i="18"/>
  <c r="C8" i="18" s="1"/>
  <c r="A15" i="18" s="1"/>
  <c r="Y9" i="18"/>
  <c r="A17" i="13"/>
  <c r="B16" i="13"/>
  <c r="A17" i="23" l="1"/>
  <c r="B16" i="23"/>
  <c r="B19" i="22"/>
  <c r="A20" i="22"/>
  <c r="F23" i="18"/>
  <c r="H23" i="18" s="1"/>
  <c r="F5" i="18"/>
  <c r="H5" i="18" s="1"/>
  <c r="B38" i="18"/>
  <c r="A40" i="18"/>
  <c r="B39" i="18"/>
  <c r="T44" i="18"/>
  <c r="G51" i="18"/>
  <c r="V45" i="18"/>
  <c r="X45" i="18" s="1"/>
  <c r="F44" i="18"/>
  <c r="H44" i="18" s="1"/>
  <c r="C37" i="18"/>
  <c r="A37" i="18"/>
  <c r="A48" i="18"/>
  <c r="G48" i="18"/>
  <c r="E37" i="18"/>
  <c r="C25" i="18"/>
  <c r="F25" i="18"/>
  <c r="H25" i="18" s="1"/>
  <c r="G25" i="18"/>
  <c r="I25" i="18" s="1"/>
  <c r="A18" i="13"/>
  <c r="B17" i="13"/>
  <c r="G24" i="18"/>
  <c r="I24" i="18" s="1"/>
  <c r="F24" i="18"/>
  <c r="H24" i="18" s="1"/>
  <c r="C24" i="18"/>
  <c r="F9" i="18"/>
  <c r="H9" i="18" s="1"/>
  <c r="C9" i="18"/>
  <c r="G9" i="18"/>
  <c r="I9" i="18" s="1"/>
  <c r="C4" i="18"/>
  <c r="G4" i="18"/>
  <c r="I4" i="18" s="1"/>
  <c r="F4" i="18"/>
  <c r="H4" i="18" s="1"/>
  <c r="F22" i="18"/>
  <c r="H22" i="18" s="1"/>
  <c r="C22" i="18"/>
  <c r="G22" i="18"/>
  <c r="I22" i="18" s="1"/>
  <c r="C7" i="18"/>
  <c r="G7" i="18"/>
  <c r="I7" i="18" s="1"/>
  <c r="F7" i="18"/>
  <c r="H7" i="18" s="1"/>
  <c r="G3" i="18"/>
  <c r="I3" i="18" s="1"/>
  <c r="C3" i="18"/>
  <c r="F3" i="18"/>
  <c r="H3" i="18" s="1"/>
  <c r="C27" i="18"/>
  <c r="F27" i="18"/>
  <c r="H27" i="18" s="1"/>
  <c r="G27" i="18"/>
  <c r="I27" i="18" s="1"/>
  <c r="C6" i="18"/>
  <c r="F6" i="18"/>
  <c r="H6" i="18" s="1"/>
  <c r="G6" i="18"/>
  <c r="I6" i="18" s="1"/>
  <c r="C21" i="18"/>
  <c r="G21" i="18"/>
  <c r="I21" i="18" s="1"/>
  <c r="F21" i="18"/>
  <c r="H21" i="18" s="1"/>
  <c r="B17" i="23" l="1"/>
  <c r="A18" i="23"/>
  <c r="A21" i="22"/>
  <c r="B20" i="22"/>
  <c r="E44" i="18"/>
  <c r="E41" i="18"/>
  <c r="Y39" i="18"/>
  <c r="Y40" i="18"/>
  <c r="E40" i="18"/>
  <c r="Y43" i="18"/>
  <c r="Y45" i="18"/>
  <c r="D42" i="18"/>
  <c r="Y42" i="18"/>
  <c r="Y41" i="18"/>
  <c r="Y44" i="18"/>
  <c r="C44" i="18" s="1"/>
  <c r="A51" i="18" s="1"/>
  <c r="E45" i="18"/>
  <c r="E42" i="18"/>
  <c r="E43" i="18"/>
  <c r="E39" i="18"/>
  <c r="B40" i="18"/>
  <c r="A41" i="18"/>
  <c r="A19" i="13"/>
  <c r="B18" i="13"/>
  <c r="A19" i="23" l="1"/>
  <c r="B18" i="23"/>
  <c r="B21" i="22"/>
  <c r="A22" i="22"/>
  <c r="F41" i="18"/>
  <c r="H41" i="18" s="1"/>
  <c r="C43" i="18"/>
  <c r="G43" i="18"/>
  <c r="I43" i="18" s="1"/>
  <c r="F43" i="18"/>
  <c r="H43" i="18" s="1"/>
  <c r="G45" i="18"/>
  <c r="I45" i="18" s="1"/>
  <c r="C45" i="18"/>
  <c r="F45" i="18"/>
  <c r="H45" i="18" s="1"/>
  <c r="F40" i="18"/>
  <c r="H40" i="18" s="1"/>
  <c r="G40" i="18"/>
  <c r="I40" i="18" s="1"/>
  <c r="C40" i="18"/>
  <c r="C39" i="18"/>
  <c r="G39" i="18"/>
  <c r="I39" i="18" s="1"/>
  <c r="F39" i="18"/>
  <c r="H39" i="18" s="1"/>
  <c r="A42" i="18"/>
  <c r="B41" i="18"/>
  <c r="G42" i="18"/>
  <c r="I42" i="18" s="1"/>
  <c r="F42" i="18"/>
  <c r="H42" i="18" s="1"/>
  <c r="C42" i="18"/>
  <c r="A20" i="13"/>
  <c r="B19" i="13"/>
  <c r="A20" i="23" l="1"/>
  <c r="B19" i="23"/>
  <c r="A23" i="22"/>
  <c r="B22" i="22"/>
  <c r="A43" i="18"/>
  <c r="B42" i="18"/>
  <c r="A21" i="13"/>
  <c r="B20" i="13"/>
  <c r="A21" i="23" l="1"/>
  <c r="B20" i="23"/>
  <c r="B23" i="22"/>
  <c r="A24" i="22"/>
  <c r="A44" i="18"/>
  <c r="B43" i="18"/>
  <c r="A22" i="13"/>
  <c r="B21" i="13"/>
  <c r="B21" i="23" l="1"/>
  <c r="A22" i="23"/>
  <c r="A25" i="22"/>
  <c r="B24" i="22"/>
  <c r="A45" i="18"/>
  <c r="B44" i="18"/>
  <c r="A23" i="13"/>
  <c r="B22" i="13"/>
  <c r="A23" i="23" l="1"/>
  <c r="B22" i="23"/>
  <c r="B25" i="22"/>
  <c r="A26" i="22"/>
  <c r="B45" i="18"/>
  <c r="A57" i="18"/>
  <c r="A24" i="13"/>
  <c r="B23" i="13"/>
  <c r="A24" i="23" l="1"/>
  <c r="B23" i="23"/>
  <c r="A27" i="22"/>
  <c r="B26" i="22"/>
  <c r="A58" i="18"/>
  <c r="B57" i="18"/>
  <c r="B56" i="18"/>
  <c r="C55" i="18"/>
  <c r="A70" i="18"/>
  <c r="A66" i="18"/>
  <c r="F62" i="18"/>
  <c r="H62" i="18" s="1"/>
  <c r="E55" i="18"/>
  <c r="G66" i="18"/>
  <c r="T62" i="18"/>
  <c r="A55" i="18"/>
  <c r="V63" i="18"/>
  <c r="X63" i="18" s="1"/>
  <c r="G69" i="18"/>
  <c r="A25" i="13"/>
  <c r="B24" i="13"/>
  <c r="A25" i="23" l="1"/>
  <c r="B24" i="23"/>
  <c r="B27" i="22"/>
  <c r="A28" i="22"/>
  <c r="Y57" i="18"/>
  <c r="E60" i="18"/>
  <c r="E61" i="18"/>
  <c r="Y62" i="18"/>
  <c r="C62" i="18" s="1"/>
  <c r="A69" i="18" s="1"/>
  <c r="Y59" i="18"/>
  <c r="Y58" i="18"/>
  <c r="E59" i="18"/>
  <c r="Y61" i="18"/>
  <c r="Y63" i="18"/>
  <c r="D60" i="18"/>
  <c r="Y60" i="18"/>
  <c r="E58" i="18"/>
  <c r="E57" i="18"/>
  <c r="E63" i="18"/>
  <c r="E62" i="18"/>
  <c r="B58" i="18"/>
  <c r="A59" i="18"/>
  <c r="A26" i="13"/>
  <c r="B25" i="13"/>
  <c r="B25" i="23" l="1"/>
  <c r="A26" i="23"/>
  <c r="A29" i="22"/>
  <c r="B29" i="22" s="1"/>
  <c r="B28" i="22"/>
  <c r="C59" i="18"/>
  <c r="F59" i="18"/>
  <c r="H59" i="18" s="1"/>
  <c r="B59" i="18"/>
  <c r="A60" i="18"/>
  <c r="F61" i="18"/>
  <c r="H61" i="18" s="1"/>
  <c r="C61" i="18"/>
  <c r="G61" i="18"/>
  <c r="I61" i="18" s="1"/>
  <c r="F57" i="18"/>
  <c r="H57" i="18" s="1"/>
  <c r="C57" i="18"/>
  <c r="G57" i="18"/>
  <c r="I57" i="18" s="1"/>
  <c r="C63" i="18"/>
  <c r="F63" i="18"/>
  <c r="H63" i="18" s="1"/>
  <c r="G63" i="18"/>
  <c r="I63" i="18" s="1"/>
  <c r="G58" i="18"/>
  <c r="I58" i="18" s="1"/>
  <c r="F58" i="18"/>
  <c r="H58" i="18" s="1"/>
  <c r="C58" i="18"/>
  <c r="G60" i="18"/>
  <c r="I60" i="18" s="1"/>
  <c r="C60" i="18"/>
  <c r="F60" i="18"/>
  <c r="H60" i="18" s="1"/>
  <c r="A27" i="13"/>
  <c r="B26" i="13"/>
  <c r="B26" i="23" l="1"/>
  <c r="A27" i="23"/>
  <c r="A65" i="18"/>
  <c r="T59" i="18"/>
  <c r="A61" i="18"/>
  <c r="B60" i="18"/>
  <c r="A28" i="13"/>
  <c r="B27" i="13"/>
  <c r="A28" i="23" l="1"/>
  <c r="B27" i="23"/>
  <c r="A62" i="18"/>
  <c r="B61" i="18"/>
  <c r="B28" i="13"/>
  <c r="A29" i="13"/>
  <c r="B29" i="13" s="1"/>
  <c r="A29" i="23" l="1"/>
  <c r="B29" i="23" s="1"/>
  <c r="B28" i="23"/>
  <c r="A63" i="18"/>
  <c r="B62" i="18"/>
  <c r="B30" i="13"/>
  <c r="B63" i="18" l="1"/>
  <c r="A75" i="18"/>
  <c r="A76" i="18" l="1"/>
  <c r="B75" i="18"/>
  <c r="B74" i="18"/>
  <c r="G84" i="18"/>
  <c r="A73" i="18"/>
  <c r="T80" i="18"/>
  <c r="C73" i="18"/>
  <c r="E73" i="18"/>
  <c r="V81" i="18"/>
  <c r="X81" i="18" s="1"/>
  <c r="G87" i="18"/>
  <c r="F80" i="18"/>
  <c r="H80" i="18" s="1"/>
  <c r="A88" i="18"/>
  <c r="A84" i="18"/>
  <c r="Y78" i="18" l="1"/>
  <c r="Y77" i="18"/>
  <c r="E75" i="18"/>
  <c r="E77" i="18"/>
  <c r="E80" i="18"/>
  <c r="E79" i="18"/>
  <c r="Y76" i="18"/>
  <c r="E81" i="18"/>
  <c r="E78" i="18"/>
  <c r="Y75" i="18"/>
  <c r="Y79" i="18"/>
  <c r="E76" i="18"/>
  <c r="Y80" i="18"/>
  <c r="C80" i="18" s="1"/>
  <c r="A87" i="18" s="1"/>
  <c r="D78" i="18"/>
  <c r="Y81" i="18"/>
  <c r="B76" i="18"/>
  <c r="A77" i="18"/>
  <c r="F77" i="18" l="1"/>
  <c r="H77" i="18" s="1"/>
  <c r="G76" i="18"/>
  <c r="I76" i="18" s="1"/>
  <c r="C76" i="18"/>
  <c r="F76" i="18"/>
  <c r="H76" i="18" s="1"/>
  <c r="F79" i="18"/>
  <c r="H79" i="18" s="1"/>
  <c r="C79" i="18"/>
  <c r="G79" i="18"/>
  <c r="I79" i="18" s="1"/>
  <c r="C81" i="18"/>
  <c r="F81" i="18"/>
  <c r="H81" i="18" s="1"/>
  <c r="G81" i="18"/>
  <c r="I81" i="18" s="1"/>
  <c r="C75" i="18"/>
  <c r="G75" i="18"/>
  <c r="I75" i="18" s="1"/>
  <c r="F75" i="18"/>
  <c r="H75" i="18" s="1"/>
  <c r="B77" i="18"/>
  <c r="A78" i="18"/>
  <c r="C78" i="18"/>
  <c r="F78" i="18"/>
  <c r="H78" i="18" s="1"/>
  <c r="G78" i="18"/>
  <c r="I78" i="18" s="1"/>
  <c r="A79" i="18" l="1"/>
  <c r="B78" i="18"/>
  <c r="A80" i="18" l="1"/>
  <c r="B79" i="18"/>
  <c r="A81" i="18" l="1"/>
  <c r="B80" i="18"/>
  <c r="A93" i="18" l="1"/>
  <c r="B81" i="18"/>
  <c r="A94" i="18" l="1"/>
  <c r="B93" i="18"/>
  <c r="B92" i="18"/>
  <c r="A91" i="18"/>
  <c r="T98" i="18"/>
  <c r="G105" i="18"/>
  <c r="A102" i="18"/>
  <c r="E91" i="18"/>
  <c r="A106" i="18"/>
  <c r="V99" i="18"/>
  <c r="X99" i="18" s="1"/>
  <c r="G102" i="18"/>
  <c r="F98" i="18"/>
  <c r="H98" i="18" s="1"/>
  <c r="C91" i="18"/>
  <c r="Y98" i="18" l="1"/>
  <c r="C98" i="18" s="1"/>
  <c r="A105" i="18" s="1"/>
  <c r="Y93" i="18"/>
  <c r="Y99" i="18"/>
  <c r="E99" i="18"/>
  <c r="E98" i="18"/>
  <c r="Y95" i="18"/>
  <c r="E97" i="18"/>
  <c r="E96" i="18"/>
  <c r="E95" i="18"/>
  <c r="D96" i="18"/>
  <c r="Y96" i="18"/>
  <c r="E94" i="18"/>
  <c r="Y94" i="18"/>
  <c r="E93" i="18"/>
  <c r="Y97" i="18"/>
  <c r="B94" i="18"/>
  <c r="A95" i="18"/>
  <c r="F95" i="18" l="1"/>
  <c r="H95" i="18" s="1"/>
  <c r="C97" i="18"/>
  <c r="G97" i="18"/>
  <c r="I97" i="18" s="1"/>
  <c r="F97" i="18"/>
  <c r="H97" i="18" s="1"/>
  <c r="F94" i="18"/>
  <c r="H94" i="18" s="1"/>
  <c r="G94" i="18"/>
  <c r="I94" i="18" s="1"/>
  <c r="C94" i="18"/>
  <c r="C96" i="18"/>
  <c r="G96" i="18"/>
  <c r="I96" i="18" s="1"/>
  <c r="F96" i="18"/>
  <c r="H96" i="18" s="1"/>
  <c r="F99" i="18"/>
  <c r="H99" i="18" s="1"/>
  <c r="G99" i="18"/>
  <c r="I99" i="18" s="1"/>
  <c r="C99" i="18"/>
  <c r="G93" i="18"/>
  <c r="I93" i="18" s="1"/>
  <c r="C93" i="18"/>
  <c r="F93" i="18"/>
  <c r="H93" i="18" s="1"/>
  <c r="A96" i="18"/>
  <c r="B95" i="18"/>
  <c r="B96" i="18" l="1"/>
  <c r="A97" i="18"/>
  <c r="A98" i="18" l="1"/>
  <c r="B97" i="18"/>
  <c r="A99" i="18" l="1"/>
  <c r="B98" i="18"/>
  <c r="A111" i="18" l="1"/>
  <c r="B99" i="18"/>
  <c r="A112" i="18" l="1"/>
  <c r="B111" i="18"/>
  <c r="B110" i="18"/>
  <c r="A124" i="18"/>
  <c r="G120" i="18"/>
  <c r="E109" i="18"/>
  <c r="V117" i="18"/>
  <c r="X117" i="18" s="1"/>
  <c r="C109" i="18"/>
  <c r="A109" i="18"/>
  <c r="A120" i="18"/>
  <c r="T116" i="18"/>
  <c r="G123" i="18"/>
  <c r="F116" i="18"/>
  <c r="H116" i="18" s="1"/>
  <c r="Y112" i="18" l="1"/>
  <c r="E117" i="18"/>
  <c r="Y114" i="18"/>
  <c r="Y117" i="18"/>
  <c r="E115" i="18"/>
  <c r="E116" i="18"/>
  <c r="Y111" i="18"/>
  <c r="Y116" i="18"/>
  <c r="C116" i="18" s="1"/>
  <c r="A123" i="18" s="1"/>
  <c r="D114" i="18"/>
  <c r="E113" i="18"/>
  <c r="E114" i="18"/>
  <c r="Y113" i="18"/>
  <c r="E112" i="18"/>
  <c r="E111" i="18"/>
  <c r="Y115" i="18"/>
  <c r="A113" i="18"/>
  <c r="B112" i="18"/>
  <c r="F113" i="18" l="1"/>
  <c r="H113" i="18" s="1"/>
  <c r="C111" i="18"/>
  <c r="F111" i="18"/>
  <c r="H111" i="18" s="1"/>
  <c r="G111" i="18"/>
  <c r="I111" i="18" s="1"/>
  <c r="F117" i="18"/>
  <c r="H117" i="18" s="1"/>
  <c r="G117" i="18"/>
  <c r="I117" i="18" s="1"/>
  <c r="C117" i="18"/>
  <c r="G115" i="18"/>
  <c r="I115" i="18" s="1"/>
  <c r="F115" i="18"/>
  <c r="H115" i="18" s="1"/>
  <c r="C115" i="18"/>
  <c r="A114" i="18"/>
  <c r="B113" i="18"/>
  <c r="C114" i="18"/>
  <c r="G114" i="18"/>
  <c r="I114" i="18" s="1"/>
  <c r="F114" i="18"/>
  <c r="H114" i="18" s="1"/>
  <c r="F112" i="18"/>
  <c r="H112" i="18" s="1"/>
  <c r="C112" i="18"/>
  <c r="G112" i="18"/>
  <c r="I112" i="18" s="1"/>
  <c r="B114" i="18" l="1"/>
  <c r="A115" i="18"/>
  <c r="B115" i="18" l="1"/>
  <c r="A116" i="18"/>
  <c r="B116" i="18" l="1"/>
  <c r="A117" i="18"/>
  <c r="A129" i="18" l="1"/>
  <c r="B117" i="18"/>
  <c r="A130" i="18" l="1"/>
  <c r="B129" i="18"/>
  <c r="B128" i="18"/>
  <c r="F134" i="18"/>
  <c r="H134" i="18" s="1"/>
  <c r="C127" i="18"/>
  <c r="E127" i="18"/>
  <c r="A127" i="18"/>
  <c r="G141" i="18"/>
  <c r="V135" i="18"/>
  <c r="X135" i="18" s="1"/>
  <c r="G138" i="18"/>
  <c r="A138" i="18"/>
  <c r="T134" i="18"/>
  <c r="Y130" i="18" l="1"/>
  <c r="E133" i="18"/>
  <c r="Y133" i="18"/>
  <c r="E129" i="18"/>
  <c r="D132" i="18"/>
  <c r="E131" i="18"/>
  <c r="E134" i="18"/>
  <c r="E130" i="18"/>
  <c r="E135" i="18"/>
  <c r="Y135" i="18"/>
  <c r="E132" i="18"/>
  <c r="Y131" i="18"/>
  <c r="Y129" i="18"/>
  <c r="Y132" i="18"/>
  <c r="Y134" i="18"/>
  <c r="C134" i="18" s="1"/>
  <c r="A141" i="18" s="1"/>
  <c r="A131" i="18"/>
  <c r="B130" i="18"/>
  <c r="F131" i="18" l="1"/>
  <c r="H131" i="18" s="1"/>
  <c r="F129" i="18"/>
  <c r="H129" i="18" s="1"/>
  <c r="G129" i="18"/>
  <c r="I129" i="18" s="1"/>
  <c r="C129" i="18"/>
  <c r="C132" i="18"/>
  <c r="F132" i="18"/>
  <c r="H132" i="18" s="1"/>
  <c r="G132" i="18"/>
  <c r="I132" i="18" s="1"/>
  <c r="C133" i="18"/>
  <c r="G133" i="18"/>
  <c r="I133" i="18" s="1"/>
  <c r="F133" i="18"/>
  <c r="H133" i="18" s="1"/>
  <c r="C135" i="18"/>
  <c r="G135" i="18"/>
  <c r="I135" i="18" s="1"/>
  <c r="F135" i="18"/>
  <c r="H135" i="18" s="1"/>
  <c r="A132" i="18"/>
  <c r="B131" i="18"/>
  <c r="C130" i="18"/>
  <c r="F130" i="18"/>
  <c r="H130" i="18" s="1"/>
  <c r="G130" i="18"/>
  <c r="I130" i="18" s="1"/>
  <c r="B132" i="18" l="1"/>
  <c r="A133" i="18"/>
  <c r="B133" i="18" l="1"/>
  <c r="A134" i="18"/>
  <c r="A135" i="18" l="1"/>
  <c r="B134" i="18"/>
  <c r="B135" i="18" l="1"/>
  <c r="A147" i="18"/>
  <c r="A148" i="18" l="1"/>
  <c r="B147" i="18"/>
  <c r="B146" i="18"/>
  <c r="A145" i="18"/>
  <c r="E145" i="18"/>
  <c r="A160" i="18"/>
  <c r="C145" i="18"/>
  <c r="A156" i="18"/>
  <c r="F152" i="18"/>
  <c r="H152" i="18" s="1"/>
  <c r="V153" i="18"/>
  <c r="X153" i="18" s="1"/>
  <c r="G156" i="18"/>
  <c r="T152" i="18"/>
  <c r="G159" i="18"/>
  <c r="Y149" i="18" l="1"/>
  <c r="Y150" i="18"/>
  <c r="Y147" i="18"/>
  <c r="Y148" i="18"/>
  <c r="Y152" i="18"/>
  <c r="C152" i="18" s="1"/>
  <c r="A159" i="18" s="1"/>
  <c r="Y153" i="18"/>
  <c r="Y151" i="18"/>
  <c r="E152" i="18"/>
  <c r="E153" i="18"/>
  <c r="E147" i="18"/>
  <c r="E150" i="18"/>
  <c r="E151" i="18"/>
  <c r="E148" i="18"/>
  <c r="E149" i="18"/>
  <c r="D150" i="18"/>
  <c r="A149" i="18"/>
  <c r="B148" i="18"/>
  <c r="F149" i="18" l="1"/>
  <c r="H149" i="18" s="1"/>
  <c r="C153" i="18"/>
  <c r="G153" i="18"/>
  <c r="I153" i="18" s="1"/>
  <c r="F153" i="18"/>
  <c r="H153" i="18" s="1"/>
  <c r="A150" i="18"/>
  <c r="B149" i="18"/>
  <c r="C151" i="18"/>
  <c r="G151" i="18"/>
  <c r="I151" i="18" s="1"/>
  <c r="F151" i="18"/>
  <c r="H151" i="18" s="1"/>
  <c r="F148" i="18"/>
  <c r="H148" i="18" s="1"/>
  <c r="G148" i="18"/>
  <c r="I148" i="18" s="1"/>
  <c r="C148" i="18"/>
  <c r="F147" i="18"/>
  <c r="H147" i="18" s="1"/>
  <c r="G147" i="18"/>
  <c r="I147" i="18" s="1"/>
  <c r="C147" i="18"/>
  <c r="C150" i="18"/>
  <c r="F150" i="18"/>
  <c r="H150" i="18" s="1"/>
  <c r="G150" i="18"/>
  <c r="I150" i="18" s="1"/>
  <c r="B150" i="18" l="1"/>
  <c r="A151" i="18"/>
  <c r="B151" i="18" l="1"/>
  <c r="A152" i="18"/>
  <c r="A153" i="18" l="1"/>
  <c r="B152" i="18"/>
  <c r="B153" i="18" l="1"/>
  <c r="A165" i="18"/>
  <c r="B164" i="18" l="1"/>
  <c r="B165" i="18"/>
  <c r="A166" i="18"/>
  <c r="A174" i="18"/>
  <c r="G177" i="18"/>
  <c r="C163" i="18"/>
  <c r="E163" i="18"/>
  <c r="F170" i="18"/>
  <c r="H170" i="18" s="1"/>
  <c r="A163" i="18"/>
  <c r="G174" i="18"/>
  <c r="T170" i="18"/>
  <c r="A178" i="18"/>
  <c r="V171" i="18"/>
  <c r="X171" i="18" s="1"/>
  <c r="Y170" i="18" l="1"/>
  <c r="C170" i="18" s="1"/>
  <c r="A177" i="18" s="1"/>
  <c r="Y166" i="18"/>
  <c r="Y171" i="18"/>
  <c r="E168" i="18"/>
  <c r="Y165" i="18"/>
  <c r="Y168" i="18"/>
  <c r="E170" i="18"/>
  <c r="Y167" i="18"/>
  <c r="E165" i="18"/>
  <c r="D168" i="18"/>
  <c r="E169" i="18"/>
  <c r="E166" i="18"/>
  <c r="E167" i="18"/>
  <c r="Y169" i="18"/>
  <c r="E171" i="18"/>
  <c r="A167" i="18"/>
  <c r="B166" i="18"/>
  <c r="F167" i="18" l="1"/>
  <c r="H167" i="18" s="1"/>
  <c r="C165" i="18"/>
  <c r="F165" i="18"/>
  <c r="H165" i="18" s="1"/>
  <c r="G165" i="18"/>
  <c r="I165" i="18" s="1"/>
  <c r="F168" i="18"/>
  <c r="H168" i="18" s="1"/>
  <c r="C168" i="18"/>
  <c r="G168" i="18"/>
  <c r="I168" i="18" s="1"/>
  <c r="C171" i="18"/>
  <c r="F171" i="18"/>
  <c r="H171" i="18" s="1"/>
  <c r="G171" i="18"/>
  <c r="I171" i="18" s="1"/>
  <c r="F169" i="18"/>
  <c r="H169" i="18" s="1"/>
  <c r="C169" i="18"/>
  <c r="G169" i="18"/>
  <c r="I169" i="18" s="1"/>
  <c r="G166" i="18"/>
  <c r="I166" i="18" s="1"/>
  <c r="F166" i="18"/>
  <c r="H166" i="18" s="1"/>
  <c r="C166" i="18"/>
  <c r="A168" i="18"/>
  <c r="B167" i="18"/>
  <c r="B168" i="18" l="1"/>
  <c r="A169" i="18"/>
  <c r="A170" i="18" l="1"/>
  <c r="B169" i="18"/>
  <c r="A171" i="18" l="1"/>
  <c r="B170" i="18"/>
  <c r="B171" i="18" l="1"/>
  <c r="A183" i="18"/>
  <c r="A192" i="18" s="1"/>
  <c r="A184" i="18" l="1"/>
  <c r="B182" i="18"/>
  <c r="B183" i="18"/>
  <c r="F188" i="18"/>
  <c r="H188" i="18" s="1"/>
  <c r="E181" i="18"/>
  <c r="G195" i="18"/>
  <c r="F185" i="18"/>
  <c r="H185" i="18" s="1"/>
  <c r="A181" i="18"/>
  <c r="A196" i="18"/>
  <c r="V189" i="18"/>
  <c r="X189" i="18" s="1"/>
  <c r="C181" i="18"/>
  <c r="T188" i="18"/>
  <c r="E186" i="18" l="1"/>
  <c r="E187" i="18"/>
  <c r="Y184" i="18"/>
  <c r="E185" i="18"/>
  <c r="E188" i="18"/>
  <c r="Y185" i="18"/>
  <c r="Y188" i="18"/>
  <c r="C188" i="18" s="1"/>
  <c r="A195" i="18" s="1"/>
  <c r="D186" i="18"/>
  <c r="E189" i="18"/>
  <c r="Y189" i="18"/>
  <c r="E184" i="18"/>
  <c r="Y186" i="18"/>
  <c r="Y187" i="18"/>
  <c r="E183" i="18"/>
  <c r="Y183" i="18"/>
  <c r="A185" i="18"/>
  <c r="B184" i="18"/>
  <c r="B185" i="18" l="1"/>
  <c r="A186" i="18"/>
  <c r="C186" i="18"/>
  <c r="F186" i="18"/>
  <c r="H186" i="18" s="1"/>
  <c r="G186" i="18"/>
  <c r="I186" i="18" s="1"/>
  <c r="C187" i="18"/>
  <c r="G187" i="18"/>
  <c r="I187" i="18" s="1"/>
  <c r="F187" i="18"/>
  <c r="H187" i="18" s="1"/>
  <c r="C184" i="18"/>
  <c r="G184" i="18"/>
  <c r="I184" i="18" s="1"/>
  <c r="F184" i="18"/>
  <c r="H184" i="18" s="1"/>
  <c r="C183" i="18"/>
  <c r="F183" i="18"/>
  <c r="H183" i="18" s="1"/>
  <c r="G183" i="18"/>
  <c r="I183" i="18" s="1"/>
  <c r="F189" i="18"/>
  <c r="H189" i="18" s="1"/>
  <c r="C189" i="18"/>
  <c r="G189" i="18"/>
  <c r="I189" i="18" s="1"/>
  <c r="A187" i="18" l="1"/>
  <c r="B186" i="18"/>
  <c r="A188" i="18" l="1"/>
  <c r="B187" i="18"/>
  <c r="B188" i="18" l="1"/>
  <c r="A189" i="18"/>
  <c r="B189" i="18" l="1"/>
  <c r="A201" i="18"/>
  <c r="A202" i="18" l="1"/>
  <c r="B201" i="18"/>
  <c r="B200" i="18"/>
  <c r="A199" i="18"/>
  <c r="A214" i="18"/>
  <c r="F206" i="18"/>
  <c r="H206" i="18" s="1"/>
  <c r="G210" i="18"/>
  <c r="T206" i="18"/>
  <c r="E199" i="18"/>
  <c r="G213" i="18"/>
  <c r="V207" i="18"/>
  <c r="X207" i="18" s="1"/>
  <c r="C199" i="18"/>
  <c r="E202" i="18" l="1"/>
  <c r="Y206" i="18"/>
  <c r="C206" i="18" s="1"/>
  <c r="A213" i="18" s="1"/>
  <c r="Y205" i="18"/>
  <c r="Y207" i="18"/>
  <c r="Y201" i="18"/>
  <c r="Y204" i="18"/>
  <c r="Y203" i="18"/>
  <c r="Y202" i="18"/>
  <c r="E201" i="18"/>
  <c r="E207" i="18"/>
  <c r="E204" i="18"/>
  <c r="E205" i="18"/>
  <c r="E206" i="18"/>
  <c r="E203" i="18"/>
  <c r="D204" i="18"/>
  <c r="A203" i="18"/>
  <c r="B202" i="18"/>
  <c r="C204" i="18" l="1"/>
  <c r="F204" i="18"/>
  <c r="H204" i="18" s="1"/>
  <c r="G204" i="18"/>
  <c r="I204" i="18" s="1"/>
  <c r="F201" i="18"/>
  <c r="H201" i="18" s="1"/>
  <c r="G201" i="18"/>
  <c r="I201" i="18" s="1"/>
  <c r="C201" i="18"/>
  <c r="F207" i="18"/>
  <c r="H207" i="18" s="1"/>
  <c r="C207" i="18"/>
  <c r="G207" i="18"/>
  <c r="I207" i="18" s="1"/>
  <c r="A204" i="18"/>
  <c r="B203" i="18"/>
  <c r="C205" i="18"/>
  <c r="F205" i="18"/>
  <c r="H205" i="18" s="1"/>
  <c r="G205" i="18"/>
  <c r="I205" i="18" s="1"/>
  <c r="C202" i="18"/>
  <c r="F202" i="18"/>
  <c r="H202" i="18" s="1"/>
  <c r="G202" i="18"/>
  <c r="I202" i="18" s="1"/>
  <c r="A205" i="18" l="1"/>
  <c r="B204" i="18"/>
  <c r="A206" i="18" l="1"/>
  <c r="B205" i="18"/>
  <c r="B206" i="18" l="1"/>
  <c r="A207" i="18"/>
  <c r="B207" i="18" l="1"/>
  <c r="A219" i="18"/>
  <c r="B219" i="18" l="1"/>
  <c r="B218" i="18"/>
  <c r="A220" i="18"/>
  <c r="G228" i="18"/>
  <c r="C217" i="18"/>
  <c r="F224" i="18"/>
  <c r="H224" i="18" s="1"/>
  <c r="E217" i="18"/>
  <c r="T224" i="18"/>
  <c r="A228" i="18"/>
  <c r="G231" i="18"/>
  <c r="A232" i="18"/>
  <c r="A217" i="18"/>
  <c r="V225" i="18"/>
  <c r="X225" i="18" s="1"/>
  <c r="E223" i="18" l="1"/>
  <c r="E220" i="18"/>
  <c r="E221" i="18"/>
  <c r="D222" i="18"/>
  <c r="E219" i="18"/>
  <c r="Y223" i="18"/>
  <c r="E224" i="18"/>
  <c r="Y220" i="18"/>
  <c r="Y219" i="18"/>
  <c r="E225" i="18"/>
  <c r="Y225" i="18"/>
  <c r="E222" i="18"/>
  <c r="Y222" i="18"/>
  <c r="Y221" i="18"/>
  <c r="Y224" i="18"/>
  <c r="C224" i="18" s="1"/>
  <c r="A231" i="18" s="1"/>
  <c r="B220" i="18"/>
  <c r="A221" i="18"/>
  <c r="F221" i="18" l="1"/>
  <c r="H221" i="18" s="1"/>
  <c r="G223" i="18"/>
  <c r="I223" i="18" s="1"/>
  <c r="F223" i="18"/>
  <c r="H223" i="18" s="1"/>
  <c r="C223" i="18"/>
  <c r="C222" i="18"/>
  <c r="F222" i="18"/>
  <c r="H222" i="18" s="1"/>
  <c r="G222" i="18"/>
  <c r="I222" i="18" s="1"/>
  <c r="C220" i="18"/>
  <c r="F220" i="18"/>
  <c r="H220" i="18" s="1"/>
  <c r="G220" i="18"/>
  <c r="I220" i="18" s="1"/>
  <c r="C225" i="18"/>
  <c r="F225" i="18"/>
  <c r="H225" i="18" s="1"/>
  <c r="G225" i="18"/>
  <c r="I225" i="18" s="1"/>
  <c r="A222" i="18"/>
  <c r="B221" i="18"/>
  <c r="G219" i="18"/>
  <c r="I219" i="18" s="1"/>
  <c r="C219" i="18"/>
  <c r="F219" i="18"/>
  <c r="H219" i="18" s="1"/>
  <c r="A223" i="18" l="1"/>
  <c r="B222" i="18"/>
  <c r="A224" i="18" l="1"/>
  <c r="B223" i="18"/>
  <c r="B224" i="18" l="1"/>
  <c r="A225" i="18"/>
  <c r="A237" i="18" l="1"/>
  <c r="B225" i="18"/>
  <c r="B237" i="18" l="1"/>
  <c r="B236" i="18"/>
  <c r="A238" i="18"/>
  <c r="A235" i="18"/>
  <c r="E235" i="18"/>
  <c r="F242" i="18"/>
  <c r="H242" i="18" s="1"/>
  <c r="T242" i="18"/>
  <c r="G249" i="18"/>
  <c r="G246" i="18"/>
  <c r="C235" i="18"/>
  <c r="A250" i="18"/>
  <c r="A246" i="18"/>
  <c r="V243" i="18"/>
  <c r="X243" i="18" s="1"/>
  <c r="E238" i="18" l="1"/>
  <c r="Y240" i="18"/>
  <c r="Y242" i="18"/>
  <c r="C242" i="18" s="1"/>
  <c r="A249" i="18" s="1"/>
  <c r="Y238" i="18"/>
  <c r="D240" i="18"/>
  <c r="E240" i="18"/>
  <c r="Y239" i="18"/>
  <c r="Y241" i="18"/>
  <c r="Y237" i="18"/>
  <c r="E237" i="18"/>
  <c r="Y243" i="18"/>
  <c r="E241" i="18"/>
  <c r="E243" i="18"/>
  <c r="E242" i="18"/>
  <c r="E239" i="18"/>
  <c r="B238" i="18"/>
  <c r="A239" i="18"/>
  <c r="F239" i="18" l="1"/>
  <c r="H239" i="18" s="1"/>
  <c r="G241" i="18"/>
  <c r="I241" i="18" s="1"/>
  <c r="C241" i="18"/>
  <c r="F241" i="18"/>
  <c r="H241" i="18" s="1"/>
  <c r="C238" i="18"/>
  <c r="F238" i="18"/>
  <c r="H238" i="18" s="1"/>
  <c r="G238" i="18"/>
  <c r="I238" i="18" s="1"/>
  <c r="G243" i="18"/>
  <c r="I243" i="18" s="1"/>
  <c r="F243" i="18"/>
  <c r="H243" i="18" s="1"/>
  <c r="C243" i="18"/>
  <c r="G240" i="18"/>
  <c r="I240" i="18" s="1"/>
  <c r="F240" i="18"/>
  <c r="H240" i="18" s="1"/>
  <c r="C240" i="18"/>
  <c r="B239" i="18"/>
  <c r="A240" i="18"/>
  <c r="G237" i="18"/>
  <c r="I237" i="18" s="1"/>
  <c r="F237" i="18"/>
  <c r="H237" i="18" s="1"/>
  <c r="C237" i="18"/>
  <c r="A241" i="18" l="1"/>
  <c r="B240" i="18"/>
  <c r="A242" i="18" l="1"/>
  <c r="B241" i="18"/>
  <c r="A243" i="18" l="1"/>
  <c r="B242" i="18"/>
  <c r="A255" i="18" l="1"/>
  <c r="B243" i="18"/>
  <c r="B255" i="18" l="1"/>
  <c r="B254" i="18"/>
  <c r="A256" i="18"/>
  <c r="G264" i="18"/>
  <c r="A253" i="18"/>
  <c r="A268" i="18"/>
  <c r="T260" i="18"/>
  <c r="E253" i="18"/>
  <c r="C253" i="18"/>
  <c r="A264" i="18"/>
  <c r="F260" i="18"/>
  <c r="H260" i="18" s="1"/>
  <c r="G267" i="18"/>
  <c r="V261" i="18"/>
  <c r="X261" i="18" s="1"/>
  <c r="A257" i="18" l="1"/>
  <c r="B256" i="18"/>
  <c r="Y256" i="18"/>
  <c r="Y260" i="18"/>
  <c r="C260" i="18" s="1"/>
  <c r="E260" i="18"/>
  <c r="E261" i="18"/>
  <c r="Y259" i="18"/>
  <c r="E255" i="18"/>
  <c r="D258" i="18"/>
  <c r="Y257" i="18"/>
  <c r="Y255" i="18"/>
  <c r="Y258" i="18"/>
  <c r="E259" i="18"/>
  <c r="E258" i="18"/>
  <c r="E256" i="18"/>
  <c r="E257" i="18"/>
  <c r="Y261" i="18"/>
  <c r="F257" i="18" l="1"/>
  <c r="H257" i="18" s="1"/>
  <c r="C259" i="18"/>
  <c r="G259" i="18"/>
  <c r="I259" i="18" s="1"/>
  <c r="F259" i="18"/>
  <c r="H259" i="18" s="1"/>
  <c r="F258" i="18"/>
  <c r="H258" i="18" s="1"/>
  <c r="C258" i="18"/>
  <c r="G258" i="18"/>
  <c r="I258" i="18" s="1"/>
  <c r="C255" i="18"/>
  <c r="F255" i="18"/>
  <c r="H255" i="18" s="1"/>
  <c r="G255" i="18"/>
  <c r="I255" i="18" s="1"/>
  <c r="C256" i="18"/>
  <c r="G256" i="18"/>
  <c r="I256" i="18" s="1"/>
  <c r="F256" i="18"/>
  <c r="H256" i="18" s="1"/>
  <c r="G261" i="18"/>
  <c r="I261" i="18" s="1"/>
  <c r="F261" i="18"/>
  <c r="H261" i="18" s="1"/>
  <c r="C261" i="18"/>
  <c r="B257" i="18"/>
  <c r="A258" i="18"/>
  <c r="A259" i="18" l="1"/>
  <c r="B258" i="18"/>
  <c r="A260" i="18" l="1"/>
  <c r="B259" i="18"/>
  <c r="A261" i="18" l="1"/>
  <c r="B260" i="18"/>
  <c r="A273" i="18" l="1"/>
  <c r="B261" i="18"/>
  <c r="B273" i="18" l="1"/>
  <c r="B272" i="18"/>
  <c r="A274" i="18"/>
  <c r="V279" i="18"/>
  <c r="X279" i="18" s="1"/>
  <c r="A271" i="18"/>
  <c r="T278" i="18"/>
  <c r="E271" i="18"/>
  <c r="F278" i="18"/>
  <c r="H278" i="18" s="1"/>
  <c r="C271" i="18"/>
  <c r="G285" i="18"/>
  <c r="G282" i="18"/>
  <c r="A282" i="18"/>
  <c r="A275" i="18" l="1"/>
  <c r="B274" i="18"/>
  <c r="Y279" i="18"/>
  <c r="Y278" i="18"/>
  <c r="C278" i="18" s="1"/>
  <c r="A285" i="18" s="1"/>
  <c r="Y273" i="18"/>
  <c r="Y274" i="18"/>
  <c r="E277" i="18"/>
  <c r="Y276" i="18"/>
  <c r="Y277" i="18"/>
  <c r="E273" i="18"/>
  <c r="D276" i="18"/>
  <c r="E279" i="18"/>
  <c r="E274" i="18"/>
  <c r="E275" i="18"/>
  <c r="E276" i="18"/>
  <c r="Y275" i="18"/>
  <c r="F275" i="18" l="1"/>
  <c r="H275" i="18" s="1"/>
  <c r="G274" i="18"/>
  <c r="I274" i="18" s="1"/>
  <c r="C274" i="18"/>
  <c r="F274" i="18"/>
  <c r="H274" i="18" s="1"/>
  <c r="C273" i="18"/>
  <c r="G273" i="18"/>
  <c r="I273" i="18" s="1"/>
  <c r="F273" i="18"/>
  <c r="H273" i="18" s="1"/>
  <c r="C276" i="18"/>
  <c r="F276" i="18"/>
  <c r="H276" i="18" s="1"/>
  <c r="G276" i="18"/>
  <c r="I276" i="18" s="1"/>
  <c r="C279" i="18"/>
  <c r="G279" i="18"/>
  <c r="I279" i="18" s="1"/>
  <c r="F279" i="18"/>
  <c r="H279" i="18" s="1"/>
  <c r="F277" i="18"/>
  <c r="H277" i="18" s="1"/>
  <c r="G277" i="18"/>
  <c r="I277" i="18" s="1"/>
  <c r="C277" i="18"/>
  <c r="B275" i="18"/>
  <c r="A276" i="18"/>
  <c r="B276" i="18" l="1"/>
  <c r="A277" i="18"/>
  <c r="B277" i="18" l="1"/>
  <c r="A278" i="18"/>
  <c r="A279" i="18" l="1"/>
  <c r="B278" i="18"/>
  <c r="A291" i="18" l="1"/>
  <c r="B279" i="18"/>
  <c r="A292" i="18" l="1"/>
  <c r="B290" i="18"/>
  <c r="B291" i="18"/>
  <c r="A289" i="18"/>
  <c r="A304" i="18"/>
  <c r="F296" i="18"/>
  <c r="H296" i="18" s="1"/>
  <c r="A300" i="18"/>
  <c r="T296" i="18"/>
  <c r="G303" i="18"/>
  <c r="E289" i="18"/>
  <c r="V297" i="18"/>
  <c r="X297" i="18" s="1"/>
  <c r="G300" i="18"/>
  <c r="C289" i="18"/>
  <c r="Y293" i="18" l="1"/>
  <c r="Y292" i="18"/>
  <c r="E297" i="18"/>
  <c r="E296" i="18"/>
  <c r="E292" i="18"/>
  <c r="Y297" i="18"/>
  <c r="E294" i="18"/>
  <c r="E295" i="18"/>
  <c r="D294" i="18"/>
  <c r="E293" i="18"/>
  <c r="Y296" i="18"/>
  <c r="C296" i="18" s="1"/>
  <c r="A303" i="18" s="1"/>
  <c r="E291" i="18"/>
  <c r="Y295" i="18"/>
  <c r="Y294" i="18"/>
  <c r="Y291" i="18"/>
  <c r="A293" i="18"/>
  <c r="B292" i="18"/>
  <c r="F293" i="18" l="1"/>
  <c r="H293" i="18" s="1"/>
  <c r="B293" i="18"/>
  <c r="A294" i="18"/>
  <c r="F297" i="18"/>
  <c r="H297" i="18" s="1"/>
  <c r="G297" i="18"/>
  <c r="I297" i="18" s="1"/>
  <c r="C297" i="18"/>
  <c r="C291" i="18"/>
  <c r="F291" i="18"/>
  <c r="H291" i="18" s="1"/>
  <c r="G291" i="18"/>
  <c r="I291" i="18" s="1"/>
  <c r="F295" i="18"/>
  <c r="H295" i="18" s="1"/>
  <c r="C295" i="18"/>
  <c r="G295" i="18"/>
  <c r="I295" i="18" s="1"/>
  <c r="C294" i="18"/>
  <c r="G294" i="18"/>
  <c r="I294" i="18" s="1"/>
  <c r="F294" i="18"/>
  <c r="H294" i="18" s="1"/>
  <c r="C292" i="18"/>
  <c r="F292" i="18"/>
  <c r="H292" i="18" s="1"/>
  <c r="G292" i="18"/>
  <c r="I292" i="18" s="1"/>
  <c r="A295" i="18" l="1"/>
  <c r="B294" i="18"/>
  <c r="B295" i="18" l="1"/>
  <c r="A296" i="18"/>
  <c r="B296" i="18" l="1"/>
  <c r="A297" i="18"/>
  <c r="A309" i="18" l="1"/>
  <c r="B297" i="18"/>
  <c r="A310" i="18" l="1"/>
  <c r="B309" i="18"/>
  <c r="B308" i="18"/>
  <c r="C307" i="18"/>
  <c r="V315" i="18"/>
  <c r="X315" i="18" s="1"/>
  <c r="F314" i="18"/>
  <c r="H314" i="18" s="1"/>
  <c r="A322" i="18"/>
  <c r="A307" i="18"/>
  <c r="E307" i="18"/>
  <c r="T314" i="18"/>
  <c r="G318" i="18"/>
  <c r="G321" i="18"/>
  <c r="A318" i="18"/>
  <c r="E314" i="18" l="1"/>
  <c r="E312" i="18"/>
  <c r="Y309" i="18"/>
  <c r="D312" i="18"/>
  <c r="Y315" i="18"/>
  <c r="E310" i="18"/>
  <c r="Y312" i="18"/>
  <c r="Y314" i="18"/>
  <c r="C314" i="18" s="1"/>
  <c r="A321" i="18" s="1"/>
  <c r="E309" i="18"/>
  <c r="Y313" i="18"/>
  <c r="Y311" i="18"/>
  <c r="E313" i="18"/>
  <c r="Y310" i="18"/>
  <c r="E311" i="18"/>
  <c r="E315" i="18"/>
  <c r="A311" i="18"/>
  <c r="B310" i="18"/>
  <c r="C312" i="18" l="1"/>
  <c r="G312" i="18"/>
  <c r="I312" i="18" s="1"/>
  <c r="F312" i="18"/>
  <c r="H312" i="18" s="1"/>
  <c r="B311" i="18"/>
  <c r="A312" i="18"/>
  <c r="G310" i="18"/>
  <c r="I310" i="18" s="1"/>
  <c r="C310" i="18"/>
  <c r="F310" i="18"/>
  <c r="H310" i="18" s="1"/>
  <c r="G315" i="18"/>
  <c r="I315" i="18" s="1"/>
  <c r="C315" i="18"/>
  <c r="F315" i="18"/>
  <c r="H315" i="18" s="1"/>
  <c r="F309" i="18"/>
  <c r="H309" i="18" s="1"/>
  <c r="G309" i="18"/>
  <c r="I309" i="18" s="1"/>
  <c r="C309" i="18"/>
  <c r="C313" i="18"/>
  <c r="F313" i="18"/>
  <c r="H313" i="18" s="1"/>
  <c r="G313" i="18"/>
  <c r="I313" i="18" s="1"/>
  <c r="A313" i="18" l="1"/>
  <c r="B312" i="18"/>
  <c r="B313" i="18" l="1"/>
  <c r="A314" i="18"/>
  <c r="B314" i="18" l="1"/>
  <c r="A315" i="18"/>
  <c r="B315" i="18" l="1"/>
  <c r="A327" i="18"/>
  <c r="A328" i="18" l="1"/>
  <c r="B327" i="18"/>
  <c r="B326" i="18"/>
  <c r="A336" i="18"/>
  <c r="V333" i="18"/>
  <c r="X333" i="18" s="1"/>
  <c r="G339" i="18"/>
  <c r="A340" i="18"/>
  <c r="E325" i="18"/>
  <c r="F332" i="18"/>
  <c r="H332" i="18" s="1"/>
  <c r="G336" i="18"/>
  <c r="C325" i="18"/>
  <c r="T332" i="18"/>
  <c r="A325" i="18"/>
  <c r="Y331" i="18" l="1"/>
  <c r="E329" i="18"/>
  <c r="D330" i="18"/>
  <c r="E333" i="18"/>
  <c r="E328" i="18"/>
  <c r="Y329" i="18"/>
  <c r="Y327" i="18"/>
  <c r="E332" i="18"/>
  <c r="Y332" i="18"/>
  <c r="C332" i="18" s="1"/>
  <c r="A339" i="18" s="1"/>
  <c r="Y330" i="18"/>
  <c r="Y328" i="18"/>
  <c r="E330" i="18"/>
  <c r="Y333" i="18"/>
  <c r="E331" i="18"/>
  <c r="E327" i="18"/>
  <c r="A329" i="18"/>
  <c r="B328" i="18"/>
  <c r="F329" i="18" l="1"/>
  <c r="H329" i="18" s="1"/>
  <c r="G327" i="18"/>
  <c r="I327" i="18" s="1"/>
  <c r="F327" i="18"/>
  <c r="H327" i="18" s="1"/>
  <c r="C327" i="18"/>
  <c r="C333" i="18"/>
  <c r="F333" i="18"/>
  <c r="H333" i="18" s="1"/>
  <c r="G333" i="18"/>
  <c r="I333" i="18" s="1"/>
  <c r="C328" i="18"/>
  <c r="F328" i="18"/>
  <c r="H328" i="18" s="1"/>
  <c r="G328" i="18"/>
  <c r="I328" i="18" s="1"/>
  <c r="A330" i="18"/>
  <c r="B329" i="18"/>
  <c r="G330" i="18"/>
  <c r="I330" i="18" s="1"/>
  <c r="C330" i="18"/>
  <c r="F330" i="18"/>
  <c r="H330" i="18" s="1"/>
  <c r="G331" i="18"/>
  <c r="I331" i="18" s="1"/>
  <c r="C331" i="18"/>
  <c r="F331" i="18"/>
  <c r="H331" i="18" s="1"/>
  <c r="A331" i="18" l="1"/>
  <c r="B330" i="18"/>
  <c r="B331" i="18" l="1"/>
  <c r="A332" i="18"/>
  <c r="B332" i="18" l="1"/>
  <c r="A333" i="18"/>
  <c r="B333" i="18" l="1"/>
  <c r="A345" i="18"/>
  <c r="B345" i="18" l="1"/>
  <c r="B344" i="18"/>
  <c r="A346" i="18"/>
  <c r="A358" i="18"/>
  <c r="T350" i="18"/>
  <c r="E343" i="18"/>
  <c r="A343" i="18"/>
  <c r="G357" i="18"/>
  <c r="G354" i="18"/>
  <c r="V351" i="18"/>
  <c r="X351" i="18" s="1"/>
  <c r="C343" i="18"/>
  <c r="F350" i="18"/>
  <c r="H350" i="18" s="1"/>
  <c r="A354" i="18"/>
  <c r="Y349" i="18" l="1"/>
  <c r="Y346" i="18"/>
  <c r="D348" i="18"/>
  <c r="Y351" i="18"/>
  <c r="E346" i="18"/>
  <c r="E350" i="18"/>
  <c r="E348" i="18"/>
  <c r="E349" i="18"/>
  <c r="E347" i="18"/>
  <c r="Y350" i="18"/>
  <c r="C350" i="18" s="1"/>
  <c r="A357" i="18" s="1"/>
  <c r="Y347" i="18"/>
  <c r="E345" i="18"/>
  <c r="Y345" i="18"/>
  <c r="E351" i="18"/>
  <c r="Y348" i="18"/>
  <c r="A347" i="18"/>
  <c r="B346" i="18"/>
  <c r="F347" i="18" l="1"/>
  <c r="H347" i="18" s="1"/>
  <c r="F348" i="18"/>
  <c r="H348" i="18" s="1"/>
  <c r="G348" i="18"/>
  <c r="I348" i="18" s="1"/>
  <c r="C348" i="18"/>
  <c r="C351" i="18"/>
  <c r="F351" i="18"/>
  <c r="H351" i="18" s="1"/>
  <c r="G351" i="18"/>
  <c r="I351" i="18" s="1"/>
  <c r="F345" i="18"/>
  <c r="H345" i="18" s="1"/>
  <c r="G345" i="18"/>
  <c r="I345" i="18" s="1"/>
  <c r="C345" i="18"/>
  <c r="C346" i="18"/>
  <c r="F346" i="18"/>
  <c r="H346" i="18" s="1"/>
  <c r="G346" i="18"/>
  <c r="I346" i="18" s="1"/>
  <c r="A348" i="18"/>
  <c r="B347" i="18"/>
  <c r="G349" i="18"/>
  <c r="I349" i="18" s="1"/>
  <c r="C349" i="18"/>
  <c r="F349" i="18"/>
  <c r="H349" i="18" s="1"/>
  <c r="A349" i="18" l="1"/>
  <c r="B348" i="18"/>
  <c r="B349" i="18" l="1"/>
  <c r="A350" i="18"/>
  <c r="B350" i="18" l="1"/>
  <c r="A351" i="18"/>
  <c r="A363" i="18" l="1"/>
  <c r="B351" i="18"/>
  <c r="B363" i="18" l="1"/>
  <c r="B362" i="18"/>
  <c r="A364" i="18"/>
  <c r="A376" i="18"/>
  <c r="F368" i="18"/>
  <c r="H368" i="18" s="1"/>
  <c r="A372" i="18"/>
  <c r="A361" i="18"/>
  <c r="G375" i="18"/>
  <c r="V369" i="18"/>
  <c r="X369" i="18" s="1"/>
  <c r="C361" i="18"/>
  <c r="G372" i="18"/>
  <c r="E361" i="18"/>
  <c r="T368" i="18"/>
  <c r="E366" i="18" l="1"/>
  <c r="E369" i="18"/>
  <c r="E368" i="18"/>
  <c r="Y363" i="18"/>
  <c r="D366" i="18"/>
  <c r="Y369" i="18"/>
  <c r="E364" i="18"/>
  <c r="Y366" i="18"/>
  <c r="Y368" i="18"/>
  <c r="C368" i="18" s="1"/>
  <c r="A375" i="18" s="1"/>
  <c r="Y364" i="18"/>
  <c r="E363" i="18"/>
  <c r="Y367" i="18"/>
  <c r="Y365" i="18"/>
  <c r="E367" i="18"/>
  <c r="E365" i="18"/>
  <c r="A365" i="18"/>
  <c r="B364" i="18"/>
  <c r="F365" i="18" l="1"/>
  <c r="H365" i="18" s="1"/>
  <c r="G369" i="18"/>
  <c r="I369" i="18" s="1"/>
  <c r="C369" i="18"/>
  <c r="F369" i="18"/>
  <c r="H369" i="18" s="1"/>
  <c r="C363" i="18"/>
  <c r="F363" i="18"/>
  <c r="H363" i="18" s="1"/>
  <c r="G363" i="18"/>
  <c r="I363" i="18" s="1"/>
  <c r="G366" i="18"/>
  <c r="I366" i="18" s="1"/>
  <c r="C366" i="18"/>
  <c r="F366" i="18"/>
  <c r="H366" i="18" s="1"/>
  <c r="A366" i="18"/>
  <c r="B365" i="18"/>
  <c r="C367" i="18"/>
  <c r="G367" i="18"/>
  <c r="I367" i="18" s="1"/>
  <c r="F367" i="18"/>
  <c r="H367" i="18" s="1"/>
  <c r="C364" i="18"/>
  <c r="F364" i="18"/>
  <c r="H364" i="18" s="1"/>
  <c r="G364" i="18"/>
  <c r="I364" i="18" s="1"/>
  <c r="A367" i="18" l="1"/>
  <c r="B366" i="18"/>
  <c r="B367" i="18" l="1"/>
  <c r="A368" i="18"/>
  <c r="A369" i="18" l="1"/>
  <c r="B368" i="18"/>
  <c r="A381" i="18" l="1"/>
  <c r="B369" i="18"/>
  <c r="B381" i="18" l="1"/>
  <c r="B380" i="18"/>
  <c r="A382" i="18"/>
  <c r="V387" i="18"/>
  <c r="X387" i="18" s="1"/>
  <c r="C379" i="18"/>
  <c r="A379" i="18"/>
  <c r="G393" i="18"/>
  <c r="A394" i="18"/>
  <c r="E379" i="18"/>
  <c r="T386" i="18"/>
  <c r="A390" i="18"/>
  <c r="G390" i="18"/>
  <c r="B382" i="18" l="1"/>
  <c r="A383" i="18"/>
  <c r="E382" i="18"/>
  <c r="Y383" i="18"/>
  <c r="Y381" i="18"/>
  <c r="Y384" i="18"/>
  <c r="Y386" i="18"/>
  <c r="C386" i="18" s="1"/>
  <c r="A393" i="18" s="1"/>
  <c r="E384" i="18"/>
  <c r="D384" i="18"/>
  <c r="Y387" i="18"/>
  <c r="E387" i="18"/>
  <c r="E386" i="18"/>
  <c r="E385" i="18"/>
  <c r="Y382" i="18"/>
  <c r="E381" i="18"/>
  <c r="Y385" i="18"/>
  <c r="E383" i="18"/>
  <c r="F383" i="18" l="1"/>
  <c r="H383" i="18" s="1"/>
  <c r="F382" i="18"/>
  <c r="H382" i="18" s="1"/>
  <c r="G382" i="18"/>
  <c r="I382" i="18" s="1"/>
  <c r="C382" i="18"/>
  <c r="F381" i="18"/>
  <c r="H381" i="18" s="1"/>
  <c r="G381" i="18"/>
  <c r="I381" i="18" s="1"/>
  <c r="C381" i="18"/>
  <c r="C385" i="18"/>
  <c r="G385" i="18"/>
  <c r="I385" i="18" s="1"/>
  <c r="F385" i="18"/>
  <c r="H385" i="18" s="1"/>
  <c r="C387" i="18"/>
  <c r="F387" i="18"/>
  <c r="H387" i="18" s="1"/>
  <c r="G387" i="18"/>
  <c r="I387" i="18" s="1"/>
  <c r="A384" i="18"/>
  <c r="B383" i="18"/>
  <c r="G384" i="18"/>
  <c r="I384" i="18" s="1"/>
  <c r="C384" i="18"/>
  <c r="F384" i="18"/>
  <c r="H384" i="18" s="1"/>
  <c r="A385" i="18" l="1"/>
  <c r="B384" i="18"/>
  <c r="A386" i="18" l="1"/>
  <c r="B385" i="18"/>
  <c r="A387" i="18" l="1"/>
  <c r="B386" i="18"/>
  <c r="A399" i="18" l="1"/>
  <c r="B387" i="18"/>
  <c r="B398" i="18" l="1"/>
  <c r="A400" i="18"/>
  <c r="B399" i="18"/>
  <c r="A397" i="18"/>
  <c r="F404" i="18"/>
  <c r="H404" i="18" s="1"/>
  <c r="C397" i="18"/>
  <c r="G411" i="18"/>
  <c r="V405" i="18"/>
  <c r="X405" i="18" s="1"/>
  <c r="A408" i="18"/>
  <c r="T404" i="18"/>
  <c r="E397" i="18"/>
  <c r="G408" i="18"/>
  <c r="E401" i="18" l="1"/>
  <c r="Y405" i="18"/>
  <c r="C405" i="18" s="1"/>
  <c r="E399" i="18"/>
  <c r="Y399" i="18"/>
  <c r="Y404" i="18"/>
  <c r="C404" i="18" s="1"/>
  <c r="A411" i="18" s="1"/>
  <c r="Y401" i="18"/>
  <c r="Y403" i="18"/>
  <c r="Y402" i="18"/>
  <c r="D402" i="18"/>
  <c r="Y400" i="18"/>
  <c r="E400" i="18"/>
  <c r="E402" i="18"/>
  <c r="E403" i="18"/>
  <c r="E405" i="18"/>
  <c r="E404" i="18"/>
  <c r="B400" i="18"/>
  <c r="A401" i="18"/>
  <c r="F401" i="18" l="1"/>
  <c r="H401" i="18" s="1"/>
  <c r="C402" i="18"/>
  <c r="F402" i="18"/>
  <c r="H402" i="18" s="1"/>
  <c r="G402" i="18"/>
  <c r="I402" i="18" s="1"/>
  <c r="C399" i="18"/>
  <c r="F399" i="18"/>
  <c r="H399" i="18" s="1"/>
  <c r="G399" i="18"/>
  <c r="I399" i="18" s="1"/>
  <c r="C400" i="18"/>
  <c r="G400" i="18"/>
  <c r="I400" i="18" s="1"/>
  <c r="F400" i="18"/>
  <c r="H400" i="18" s="1"/>
  <c r="G405" i="18"/>
  <c r="I405" i="18" s="1"/>
  <c r="F405" i="18"/>
  <c r="H405" i="18" s="1"/>
  <c r="C403" i="18"/>
  <c r="F403" i="18"/>
  <c r="H403" i="18" s="1"/>
  <c r="G403" i="18"/>
  <c r="I403" i="18" s="1"/>
  <c r="B401" i="18"/>
  <c r="A402" i="18"/>
  <c r="B402" i="18" l="1"/>
  <c r="A403" i="18"/>
  <c r="A404" i="18" l="1"/>
  <c r="B403" i="18"/>
  <c r="A405" i="18" l="1"/>
  <c r="B404" i="18"/>
  <c r="A417" i="18" l="1"/>
  <c r="B405" i="18"/>
  <c r="B416" i="18" l="1"/>
  <c r="A418" i="18"/>
  <c r="B417" i="18"/>
  <c r="G429" i="18"/>
  <c r="C415" i="18"/>
  <c r="A415" i="18"/>
  <c r="A430" i="18"/>
  <c r="V423" i="18"/>
  <c r="X423" i="18" s="1"/>
  <c r="T422" i="18"/>
  <c r="F422" i="18"/>
  <c r="H422" i="18" s="1"/>
  <c r="G426" i="18"/>
  <c r="A426" i="18"/>
  <c r="E415" i="18"/>
  <c r="E419" i="18" l="1"/>
  <c r="Y419" i="18"/>
  <c r="Y423" i="18"/>
  <c r="E417" i="18"/>
  <c r="Y421" i="18"/>
  <c r="E422" i="18"/>
  <c r="Y420" i="18"/>
  <c r="E420" i="18"/>
  <c r="Y418" i="18"/>
  <c r="Y417" i="18"/>
  <c r="E418" i="18"/>
  <c r="E423" i="18"/>
  <c r="D420" i="18"/>
  <c r="Y422" i="18"/>
  <c r="C422" i="18" s="1"/>
  <c r="A429" i="18" s="1"/>
  <c r="E421" i="18"/>
  <c r="B418" i="18"/>
  <c r="A419" i="18"/>
  <c r="C419" i="18" l="1"/>
  <c r="F419" i="18"/>
  <c r="H419" i="18" s="1"/>
  <c r="C420" i="18"/>
  <c r="F420" i="18"/>
  <c r="H420" i="18" s="1"/>
  <c r="G420" i="18"/>
  <c r="I420" i="18" s="1"/>
  <c r="F421" i="18"/>
  <c r="H421" i="18" s="1"/>
  <c r="G421" i="18"/>
  <c r="I421" i="18" s="1"/>
  <c r="C421" i="18"/>
  <c r="F423" i="18"/>
  <c r="H423" i="18" s="1"/>
  <c r="G423" i="18"/>
  <c r="I423" i="18" s="1"/>
  <c r="C423" i="18"/>
  <c r="G417" i="18"/>
  <c r="I417" i="18" s="1"/>
  <c r="C417" i="18"/>
  <c r="F417" i="18"/>
  <c r="H417" i="18" s="1"/>
  <c r="B419" i="18"/>
  <c r="A420" i="18"/>
  <c r="C418" i="18"/>
  <c r="F418" i="18"/>
  <c r="H418" i="18" s="1"/>
  <c r="G418" i="18"/>
  <c r="I418" i="18" s="1"/>
  <c r="A425" i="18" l="1"/>
  <c r="T419" i="18"/>
  <c r="B420" i="18"/>
  <c r="A421" i="18"/>
  <c r="B421" i="18" l="1"/>
  <c r="A422" i="18"/>
  <c r="A423" i="18" l="1"/>
  <c r="B422" i="18"/>
  <c r="A435" i="18" l="1"/>
  <c r="B423" i="18"/>
  <c r="A436" i="18" l="1"/>
  <c r="B435" i="18"/>
  <c r="B434" i="18"/>
  <c r="T440" i="18"/>
  <c r="A448" i="18"/>
  <c r="G444" i="18"/>
  <c r="F440" i="18"/>
  <c r="H440" i="18" s="1"/>
  <c r="A433" i="18"/>
  <c r="C433" i="18"/>
  <c r="V441" i="18"/>
  <c r="X441" i="18" s="1"/>
  <c r="G447" i="18"/>
  <c r="E433" i="18"/>
  <c r="A444" i="18"/>
  <c r="E438" i="18" l="1"/>
  <c r="E436" i="18"/>
  <c r="Y437" i="18"/>
  <c r="Y439" i="18"/>
  <c r="E440" i="18"/>
  <c r="E441" i="18"/>
  <c r="Y435" i="18"/>
  <c r="E439" i="18"/>
  <c r="Y441" i="18"/>
  <c r="Y438" i="18"/>
  <c r="D438" i="18"/>
  <c r="Y436" i="18"/>
  <c r="E435" i="18"/>
  <c r="Y440" i="18"/>
  <c r="C440" i="18" s="1"/>
  <c r="A447" i="18" s="1"/>
  <c r="E437" i="18"/>
  <c r="B436" i="18"/>
  <c r="A437" i="18"/>
  <c r="F437" i="18" l="1"/>
  <c r="H437" i="18" s="1"/>
  <c r="G435" i="18"/>
  <c r="I435" i="18" s="1"/>
  <c r="C435" i="18"/>
  <c r="F435" i="18"/>
  <c r="H435" i="18" s="1"/>
  <c r="C439" i="18"/>
  <c r="F439" i="18"/>
  <c r="H439" i="18" s="1"/>
  <c r="G439" i="18"/>
  <c r="I439" i="18" s="1"/>
  <c r="C436" i="18"/>
  <c r="G436" i="18"/>
  <c r="I436" i="18" s="1"/>
  <c r="F436" i="18"/>
  <c r="H436" i="18" s="1"/>
  <c r="F438" i="18"/>
  <c r="H438" i="18" s="1"/>
  <c r="C438" i="18"/>
  <c r="G438" i="18"/>
  <c r="I438" i="18" s="1"/>
  <c r="B437" i="18"/>
  <c r="A438" i="18"/>
  <c r="F441" i="18"/>
  <c r="H441" i="18" s="1"/>
  <c r="C441" i="18"/>
  <c r="G441" i="18"/>
  <c r="I441" i="18" s="1"/>
  <c r="A439" i="18" l="1"/>
  <c r="B438" i="18"/>
  <c r="B439" i="18" l="1"/>
  <c r="A440" i="18"/>
  <c r="B440" i="18" l="1"/>
  <c r="A441" i="18"/>
  <c r="A453" i="18" l="1"/>
  <c r="F458" i="18" s="1"/>
  <c r="B441" i="18"/>
  <c r="A454" i="18" l="1"/>
  <c r="B453" i="18"/>
  <c r="B452" i="18"/>
  <c r="V459" i="18"/>
  <c r="X459" i="18" s="1"/>
  <c r="A451" i="18"/>
  <c r="C451" i="18"/>
  <c r="G465" i="18"/>
  <c r="A462" i="18"/>
  <c r="G462" i="18"/>
  <c r="T458" i="18"/>
  <c r="E451" i="18"/>
  <c r="H458" i="18"/>
  <c r="E458" i="18" l="1"/>
  <c r="E459" i="18"/>
  <c r="Y459" i="18"/>
  <c r="E455" i="18"/>
  <c r="E453" i="18"/>
  <c r="Y456" i="18"/>
  <c r="Y453" i="18"/>
  <c r="E457" i="18"/>
  <c r="E454" i="18"/>
  <c r="Y454" i="18"/>
  <c r="E456" i="18"/>
  <c r="Y458" i="18"/>
  <c r="C458" i="18" s="1"/>
  <c r="A465" i="18" s="1"/>
  <c r="D456" i="18"/>
  <c r="Y455" i="18"/>
  <c r="Y457" i="18"/>
  <c r="B454" i="18"/>
  <c r="A455" i="18"/>
  <c r="C459" i="18" l="1"/>
  <c r="F459" i="18"/>
  <c r="H459" i="18" s="1"/>
  <c r="G459" i="18"/>
  <c r="I459" i="18" s="1"/>
  <c r="F455" i="18"/>
  <c r="H455" i="18" s="1"/>
  <c r="G453" i="18"/>
  <c r="I453" i="18" s="1"/>
  <c r="F453" i="18"/>
  <c r="H453" i="18" s="1"/>
  <c r="C453" i="18"/>
  <c r="C457" i="18"/>
  <c r="G457" i="18"/>
  <c r="I457" i="18" s="1"/>
  <c r="F457" i="18"/>
  <c r="H457" i="18" s="1"/>
  <c r="C456" i="18"/>
  <c r="F456" i="18"/>
  <c r="H456" i="18" s="1"/>
  <c r="G456" i="18"/>
  <c r="I456" i="18" s="1"/>
  <c r="A456" i="18"/>
  <c r="B455" i="18"/>
  <c r="F454" i="18"/>
  <c r="H454" i="18" s="1"/>
  <c r="G454" i="18"/>
  <c r="I454" i="18" s="1"/>
  <c r="C454" i="18"/>
  <c r="A457" i="18" l="1"/>
  <c r="B456" i="18"/>
  <c r="B457" i="18" l="1"/>
  <c r="A458" i="18"/>
  <c r="B458" i="18" l="1"/>
  <c r="A459" i="18"/>
  <c r="B459" i="18" l="1"/>
  <c r="A471" i="18"/>
  <c r="B471" i="18" l="1"/>
  <c r="B470" i="18"/>
  <c r="A472" i="18"/>
  <c r="F476" i="18"/>
  <c r="H476" i="18" s="1"/>
  <c r="G483" i="18"/>
  <c r="A484" i="18"/>
  <c r="A480" i="18"/>
  <c r="T476" i="18"/>
  <c r="G480" i="18"/>
  <c r="V477" i="18"/>
  <c r="X477" i="18" s="1"/>
  <c r="C469" i="18"/>
  <c r="E469" i="18"/>
  <c r="A469" i="18"/>
  <c r="E476" i="18" l="1"/>
  <c r="E477" i="18"/>
  <c r="D474" i="18"/>
  <c r="Y477" i="18"/>
  <c r="C477" i="18" s="1"/>
  <c r="E472" i="18"/>
  <c r="Y472" i="18"/>
  <c r="Y474" i="18"/>
  <c r="Y475" i="18"/>
  <c r="E471" i="18"/>
  <c r="E473" i="18"/>
  <c r="Y476" i="18"/>
  <c r="C476" i="18" s="1"/>
  <c r="A483" i="18" s="1"/>
  <c r="Y471" i="18"/>
  <c r="E475" i="18"/>
  <c r="Y473" i="18"/>
  <c r="E474" i="18"/>
  <c r="A473" i="18"/>
  <c r="B472" i="18"/>
  <c r="F473" i="18" l="1"/>
  <c r="H473" i="18" s="1"/>
  <c r="F474" i="18"/>
  <c r="H474" i="18" s="1"/>
  <c r="C474" i="18"/>
  <c r="G474" i="18"/>
  <c r="I474" i="18" s="1"/>
  <c r="G472" i="18"/>
  <c r="I472" i="18" s="1"/>
  <c r="C472" i="18"/>
  <c r="F472" i="18"/>
  <c r="H472" i="18" s="1"/>
  <c r="F477" i="18"/>
  <c r="H477" i="18" s="1"/>
  <c r="G477" i="18"/>
  <c r="I477" i="18" s="1"/>
  <c r="A474" i="18"/>
  <c r="B473" i="18"/>
  <c r="C475" i="18"/>
  <c r="G475" i="18"/>
  <c r="I475" i="18" s="1"/>
  <c r="F475" i="18"/>
  <c r="H475" i="18" s="1"/>
  <c r="C471" i="18"/>
  <c r="F471" i="18"/>
  <c r="H471" i="18" s="1"/>
  <c r="G471" i="18"/>
  <c r="I471" i="18" s="1"/>
  <c r="A475" i="18" l="1"/>
  <c r="B474" i="18"/>
  <c r="B475" i="18" l="1"/>
  <c r="A476" i="18"/>
  <c r="A477" i="18" l="1"/>
  <c r="B477" i="18" s="1"/>
  <c r="B476" i="18"/>
  <c r="F386" i="18"/>
  <c r="H386" i="18" s="1"/>
  <c r="J23" i="23"/>
  <c r="Q23" i="23" s="1"/>
  <c r="F311" i="18" l="1"/>
  <c r="H311" i="18" s="1"/>
  <c r="Q19" i="22"/>
  <c r="C311" i="18"/>
  <c r="T311" i="18" s="1"/>
  <c r="C203" i="18"/>
  <c r="T203" i="18" s="1"/>
  <c r="C131" i="18"/>
  <c r="T131" i="18" s="1"/>
  <c r="A317" i="18" l="1"/>
  <c r="A137" i="18"/>
  <c r="K13" i="22"/>
  <c r="F203" i="18" s="1"/>
  <c r="H203" i="18" s="1"/>
  <c r="Q13" i="22" l="1"/>
  <c r="C41" i="18"/>
  <c r="T41" i="18"/>
  <c r="A47" i="18"/>
  <c r="C239" i="18"/>
  <c r="T239" i="18"/>
  <c r="A245" i="18"/>
  <c r="C113" i="18"/>
  <c r="T113" i="18"/>
  <c r="A119" i="18"/>
  <c r="C167" i="18"/>
  <c r="T167" i="18"/>
  <c r="A173" i="18"/>
  <c r="C293" i="18"/>
  <c r="T293" i="18"/>
  <c r="A299" i="18"/>
  <c r="C185" i="18"/>
  <c r="T185" i="18"/>
  <c r="A191" i="18"/>
  <c r="C149" i="18"/>
  <c r="T149" i="18"/>
  <c r="A155" i="18"/>
  <c r="C329" i="18"/>
  <c r="T329" i="18"/>
  <c r="A335" i="18"/>
  <c r="C455" i="18"/>
  <c r="T455" i="18"/>
  <c r="A461" i="18"/>
  <c r="C275" i="18"/>
  <c r="T275" i="18"/>
  <c r="A281" i="18"/>
  <c r="C365" i="18"/>
  <c r="T365" i="18"/>
  <c r="A371" i="18"/>
  <c r="C383" i="18"/>
  <c r="T383" i="18"/>
  <c r="A389" i="18"/>
  <c r="C95" i="18"/>
  <c r="T95" i="18"/>
  <c r="A101" i="18"/>
  <c r="C23" i="18"/>
  <c r="T23" i="18"/>
  <c r="A29" i="18"/>
  <c r="C473" i="18"/>
  <c r="T473" i="18"/>
  <c r="A479" i="18"/>
  <c r="C401" i="18"/>
  <c r="T401" i="18"/>
  <c r="A407" i="18"/>
  <c r="C221" i="18"/>
  <c r="T221" i="18"/>
  <c r="A227" i="18"/>
  <c r="C5" i="18"/>
  <c r="T5" i="18"/>
  <c r="A11" i="18"/>
  <c r="C437" i="18"/>
  <c r="T437" i="18"/>
  <c r="A443" i="18"/>
  <c r="C77" i="18"/>
  <c r="T77" i="18"/>
  <c r="A83" i="18"/>
  <c r="C257" i="18"/>
  <c r="T257" i="18"/>
  <c r="A263" i="18"/>
  <c r="C347" i="18"/>
  <c r="T347" i="18"/>
  <c r="A353" i="18"/>
</calcChain>
</file>

<file path=xl/sharedStrings.xml><?xml version="1.0" encoding="utf-8"?>
<sst xmlns="http://schemas.openxmlformats.org/spreadsheetml/2006/main" count="1056" uniqueCount="324">
  <si>
    <t>Palauttava</t>
  </si>
  <si>
    <t>Peruskestävyys</t>
  </si>
  <si>
    <t>Vauhtikestävyys 1</t>
  </si>
  <si>
    <t>Vauhtikestävyys 2</t>
  </si>
  <si>
    <t>Maksimikestävyys 1</t>
  </si>
  <si>
    <t>Maksimikestävyys 2</t>
  </si>
  <si>
    <t>Harjoitusalueet (teho):</t>
  </si>
  <si>
    <t>Alaraja (teho)</t>
  </si>
  <si>
    <t>Yläraja (teho)</t>
  </si>
  <si>
    <t>Keskiteho (W)</t>
  </si>
  <si>
    <t>Harjoitusalueet (syke):</t>
  </si>
  <si>
    <t>Syke</t>
  </si>
  <si>
    <t>Alaraja</t>
  </si>
  <si>
    <t>Yläraja</t>
  </si>
  <si>
    <t>Painopiste</t>
  </si>
  <si>
    <t>2000m</t>
  </si>
  <si>
    <t>500m &amp; 10000m</t>
  </si>
  <si>
    <t>Rytmitys</t>
  </si>
  <si>
    <t>Kova 1</t>
  </si>
  <si>
    <t>Kevyt</t>
  </si>
  <si>
    <t>MK pitkä</t>
  </si>
  <si>
    <t>MK lyhyt</t>
  </si>
  <si>
    <t>Column1</t>
  </si>
  <si>
    <t>Viikon 1. päivä</t>
  </si>
  <si>
    <t>Harjoittelun aloitus</t>
  </si>
  <si>
    <t>Kova 3</t>
  </si>
  <si>
    <t>Vauhtikestävyys</t>
  </si>
  <si>
    <t>Anaerobinen kynnys</t>
  </si>
  <si>
    <t>Harjoitusalueet (min/500m)):</t>
  </si>
  <si>
    <t>Loppuaika</t>
  </si>
  <si>
    <t>Kesto</t>
  </si>
  <si>
    <t>1/m</t>
  </si>
  <si>
    <t>Matka (m)</t>
  </si>
  <si>
    <t>Vauhti (m/s)</t>
  </si>
  <si>
    <t>Ennustettu loppuaika</t>
  </si>
  <si>
    <t>Keskivauhti</t>
  </si>
  <si>
    <t>Column2</t>
  </si>
  <si>
    <t>Keskiteho</t>
  </si>
  <si>
    <t>Harjoitusjaksot</t>
  </si>
  <si>
    <t>Viikkotunti (KA)</t>
  </si>
  <si>
    <t>42195</t>
  </si>
  <si>
    <t>W</t>
  </si>
  <si>
    <t>Anaerobinen kynnys (teho):</t>
  </si>
  <si>
    <t>ÄLÄ MUOKKAA SOLUJA TÄLLÄ SIVULLA</t>
  </si>
  <si>
    <t>Maanantai</t>
  </si>
  <si>
    <t>Tiistai</t>
  </si>
  <si>
    <t>Keskiviikko</t>
  </si>
  <si>
    <t>Torstai</t>
  </si>
  <si>
    <t>Perjantai</t>
  </si>
  <si>
    <t>Lauantai</t>
  </si>
  <si>
    <t>Sunnuntai</t>
  </si>
  <si>
    <t>Kevyt viikko</t>
  </si>
  <si>
    <t>Ohjelma 1</t>
  </si>
  <si>
    <t>Ohjelma 2</t>
  </si>
  <si>
    <t>Ohjelma 3</t>
  </si>
  <si>
    <t>Valitse itsellesi sopivin ohjelma</t>
  </si>
  <si>
    <t>Ohjelma</t>
  </si>
  <si>
    <t>Peruskestävyys 50-75min</t>
  </si>
  <si>
    <t>Peruskestävyys 50-75min.</t>
  </si>
  <si>
    <t>Peruskestävyys 60-90min</t>
  </si>
  <si>
    <t>Peruskestävyys 75-100min</t>
  </si>
  <si>
    <t>LEPO</t>
  </si>
  <si>
    <t>Peruskestävyys 40-60min</t>
  </si>
  <si>
    <t>Palauttava 40-60min</t>
  </si>
  <si>
    <t>Kova 2 80-120min</t>
  </si>
  <si>
    <t>Kova 1 60-75min</t>
  </si>
  <si>
    <t>Kova 1 75-90min</t>
  </si>
  <si>
    <t>Pitkä PK 90-180min</t>
  </si>
  <si>
    <t>Pitkä PK 90-150min</t>
  </si>
  <si>
    <t>Peruskestävyys 50-80min</t>
  </si>
  <si>
    <t>Kestävyysharjoitus</t>
  </si>
  <si>
    <t>Voimaharjoitus</t>
  </si>
  <si>
    <t>Voimaharjoittelu</t>
  </si>
  <si>
    <t>Teetkö voimaharjoittelua?</t>
  </si>
  <si>
    <t>En tee voimaharjoittelua</t>
  </si>
  <si>
    <t>Kyllä, kerran viikossa</t>
  </si>
  <si>
    <t>Kyllä, 2 kertaa viikossa</t>
  </si>
  <si>
    <t>Puntti 2 (60-75min)</t>
  </si>
  <si>
    <t>Puntti 1 (60-75min)</t>
  </si>
  <si>
    <t>Minimitunnit</t>
  </si>
  <si>
    <t>Maksimitunnit</t>
  </si>
  <si>
    <t>Voimaharjoittelu (h):</t>
  </si>
  <si>
    <t>Raskas viikko (h)</t>
  </si>
  <si>
    <t>Normaaliviikko (h)</t>
  </si>
  <si>
    <t>Kevyt viikko (h)</t>
  </si>
  <si>
    <t>Kerroin</t>
  </si>
  <si>
    <t>Yhteensä (h)</t>
  </si>
  <si>
    <t>Viikonpäivä</t>
  </si>
  <si>
    <t>Kova 2</t>
  </si>
  <si>
    <t>Viikkokoodit</t>
  </si>
  <si>
    <t>Jaksokoodit</t>
  </si>
  <si>
    <t>Kovat viikot</t>
  </si>
  <si>
    <t>Kaikki viikot</t>
  </si>
  <si>
    <t>20 min testi</t>
  </si>
  <si>
    <t>5 min testi</t>
  </si>
  <si>
    <t>Kovat harjoitukset jaksossa</t>
  </si>
  <si>
    <t>Ohjelmamalli:</t>
  </si>
  <si>
    <t>PK-jakso</t>
  </si>
  <si>
    <t>Tuntiprogressio</t>
  </si>
  <si>
    <t>ANK</t>
  </si>
  <si>
    <t>Viikko-koodi</t>
  </si>
  <si>
    <t>Jakso-koodi</t>
  </si>
  <si>
    <t>Viikko-numero</t>
  </si>
  <si>
    <t>Kestävyys-harjoittelu (h)</t>
  </si>
  <si>
    <t>Voima-harjoittelu (h)</t>
  </si>
  <si>
    <t>Harjoittelu yht. (h)</t>
  </si>
  <si>
    <t>Testit/kisat</t>
  </si>
  <si>
    <t>Viikko:</t>
  </si>
  <si>
    <t>Painotus:</t>
  </si>
  <si>
    <t>Lepo</t>
  </si>
  <si>
    <t>Kova</t>
  </si>
  <si>
    <t>Pitkä PK</t>
  </si>
  <si>
    <t>Summa</t>
  </si>
  <si>
    <t>Summa (h)</t>
  </si>
  <si>
    <t>Pitkä peruskestävyys</t>
  </si>
  <si>
    <t>Koodi</t>
  </si>
  <si>
    <t>Intensiteetti</t>
  </si>
  <si>
    <t>Pitkä PK 75min</t>
  </si>
  <si>
    <t>Peruskestävyys 60min</t>
  </si>
  <si>
    <t>Palauttava 45 min</t>
  </si>
  <si>
    <t>Pitkä PK 90min</t>
  </si>
  <si>
    <t>Peruskestävyys 70min</t>
  </si>
  <si>
    <t>Palauttava 60min</t>
  </si>
  <si>
    <t>Peruskestävyys 50min</t>
  </si>
  <si>
    <t>Peruskestävyys 80min</t>
  </si>
  <si>
    <t>Palauttava 50min</t>
  </si>
  <si>
    <t>20min</t>
  </si>
  <si>
    <t>Sarjat</t>
  </si>
  <si>
    <t>Palautus</t>
  </si>
  <si>
    <t>Harjoituksen kesto</t>
  </si>
  <si>
    <t>Kesto (min)</t>
  </si>
  <si>
    <t>20min testi</t>
  </si>
  <si>
    <t>Kovan osuuden kesto</t>
  </si>
  <si>
    <t>Intensiteetti (%)</t>
  </si>
  <si>
    <t>Teho</t>
  </si>
  <si>
    <t>Lämmittely &amp; jäähdyttely</t>
  </si>
  <si>
    <t>Palautukset</t>
  </si>
  <si>
    <t>Toistot</t>
  </si>
  <si>
    <t>Maksimikeskiteho</t>
  </si>
  <si>
    <t>1/s</t>
  </si>
  <si>
    <t>Sarja-palautus</t>
  </si>
  <si>
    <t>Toisto-palautus</t>
  </si>
  <si>
    <t>Harjoitus-kuorma</t>
  </si>
  <si>
    <t>4*(10*30s/30s)/5</t>
  </si>
  <si>
    <t>6*(10*30s/30s)/5</t>
  </si>
  <si>
    <t>3*15/5</t>
  </si>
  <si>
    <t>6*10/3</t>
  </si>
  <si>
    <t>4*20/5 VK</t>
  </si>
  <si>
    <t>2*20min/5min</t>
  </si>
  <si>
    <t>3*20/5</t>
  </si>
  <si>
    <t>Maraton</t>
  </si>
  <si>
    <t xml:space="preserve">5*15/5 </t>
  </si>
  <si>
    <t>3*15/2</t>
  </si>
  <si>
    <t>5*5min/3min</t>
  </si>
  <si>
    <t>5*6min/3min</t>
  </si>
  <si>
    <t>6*6min/3min</t>
  </si>
  <si>
    <t>Alateho</t>
  </si>
  <si>
    <t>Yläteho</t>
  </si>
  <si>
    <t>Ks. Kovan harjoituksen ohjeet -&gt;</t>
  </si>
  <si>
    <t>Kesto (min.)</t>
  </si>
  <si>
    <t>Kova harjoitus</t>
  </si>
  <si>
    <t>3*10min/2min</t>
  </si>
  <si>
    <t>4*10min/2min</t>
  </si>
  <si>
    <t>2*(15*1min/30sek)/10min</t>
  </si>
  <si>
    <t>2*(20*1min/30sek)/10min</t>
  </si>
  <si>
    <t>3*(10x40sek/20sek)/5min</t>
  </si>
  <si>
    <t>3*20min/5min</t>
  </si>
  <si>
    <t>6*5min/3min</t>
  </si>
  <si>
    <t>6*7min/3min</t>
  </si>
  <si>
    <t>Viikon ohjeet</t>
  </si>
  <si>
    <t>Treenin ohjeet</t>
  </si>
  <si>
    <t>Tällä viikolla on ohjelmassa vauhtikestävyysharjoitus, jossa pyritään tulevien viikkojen aikana asteittain nostamaan kestoa vauhdin/tehon pysyessä samana. Tämän kovan harjoituksen ei ole tarkoitus olla maksimaalinen, vaan sinulla tulisi olla sellainen olo, että olisit vielä pystynyt tekemään ainakin yhden 10 minuutin sarjan lisää. Jos huomaat harjoituksen aikana, että olet jaksamisen rajoilla, voit aavistuksen keventää tehoa/vauhtia.</t>
  </si>
  <si>
    <t xml:space="preserve">Nyt kovissa harjoituksissa siirrytään maksimikestävyysalueelle, eli anaerobisen kynnyksen yläpuolelle. MK-intervallit suoritetaan kohtalaisen pitkinä, jolloin ne kehittävät tehokkaasti sekä anaerobista kynnystäsi että maksimaalista hapenottokykyäsi. Harjoitus on haastava, mutta sinun tulisi pystyä pitämään yllä samaa tehoa/vauhtia kaikissa intervalleissa. </t>
  </si>
  <si>
    <t>Tavoiteteho on sama kuin viime viikolla, mutta intervallien määrää kasvatetaan viime viikosta.</t>
  </si>
  <si>
    <t>MK-alueen harjoituksia jatketaan, mutta nyt vuorossa on harjoittelu hyvin lähellä maksimaalista hapenottokykyäsi, joka vastaa myös hyvin 2000m suorituskykyäsi. Käytännössä 40 sekunnin intervallien keskitehon tulisi vastata kohtalaisen hyvin 2000m suorituskykyäsi. Jos realistinen 2000m tavoitteesi poikkeaa huomattavasti ohjetehosta, voit säätää harjoituksen tehoa kohti 2000m tavoitettasi. Tähtää joko tasatehoiseen tai nousujohteiseen harjoitukseen. Vikassa 8*40sek/20sek sarjassa kannattaa ottaa kaikki irti!</t>
  </si>
  <si>
    <t xml:space="preserve">Harjoituksen painopiste siirtyy nyt anaerobiselle kynnykselle sekä vauhtikestävyysalueelle kun ohjelma etenee kohti 10km sekä puolimaraton/maraton kilpailuja. </t>
  </si>
  <si>
    <t>Ohjelmassa maraton/puolimaraton. Tämän alueen vauhtiennuste ei ole niin tarkka, joten kannattaa huomioida omat aiemmat tulokset. Ens kertaa maratonille lähtevälle suosittelen tehoksi suunnilleen aerobisen kynnyksen tehoa (ks. Viikon 11 harjoituksen ohjeteho), josta voit sitten mahdollisuuksien mukaan nostaa tehoa suorituksen aikana. Vastaavasti hyvät pitkän matkan ominaisuudet omaava voi suoriutua maratonista jopa hyvin lähellä anaerobista kynnystään.</t>
  </si>
  <si>
    <t>Nyt kovissa harjoituksissa siirrytään maksimikestävyysalueelle, eli anaerobisen kynnyksen yläpuolelle. MK-intervallit suoritetaan kohtalaisen pitkinä, jolloin ne kehittävät tehokkaasti sekä anaerobista kynnystäsi että maksimaalista hapenottokykyäsi. Harjoitus on haastava, mutta sinun tulisi pystyä pitämään yllä samaa tehoa/vauhtia kaikissa intervalleissa, mikäli pystyt, voit asteittain kasvattaa tehoa toisessa 15*1min/30sek sarjassa.</t>
  </si>
  <si>
    <t>Nyt kovissa harjoituksissa siirrytään maksimikestävyysalueelle, eli anaerobisen kynnyksen yläpuolelle. MK-intervallit suoritetaan kohtalaisen pitkinä, jolloin ne kehittävät tehokkaasti sekä anaerobista kynnystäsi että maksimaalista hapenottokykyäsi. Harjoitus on haastava, mutta sinun tulisi pystyä pitämään yllä samaa tehoa/vauhtia kaikissa intervalleissa. Mikäli harjoitus tuntuu helpolta, voit 4.-6. intervallilla nostaa asteittain tehoa.</t>
  </si>
  <si>
    <t>Pidennetään kestoa edellisen viikon harjoituksesta. Lähde liikkeelle viime viikon treenin keskiteholla.</t>
  </si>
  <si>
    <t>Pitkä harjoitus vauhtikestävyysalueen yläpäässä. Souda ensimmäiset pari intervallia tavoiteteholla. Tämän jälkeen voit joko aavistuksen nostaa tavoitetehoa, tai jatkaa samalla vauhdilla.</t>
  </si>
  <si>
    <t>20 min. alkulämmittely + 15 minuutin loppujäähdyttely</t>
  </si>
  <si>
    <t>20 minuutin alkulämmittely + vähintään 20 minuutin loppujäähdyttely. Pitkille matkoille tähtääville suosittelen pidempää n. 30 minuutin loppujäähdyttelyä PK-alueella.</t>
  </si>
  <si>
    <t>5min testi + peruskestävyys</t>
  </si>
  <si>
    <t>30 minuutin huolellinen alkulämmittely. Testin jälkeen 45 minuuttia palauttavalla/peruskestävyysalueella.</t>
  </si>
  <si>
    <t>20 min. alkulämppä + 20 min. loppujäähdyttely</t>
  </si>
  <si>
    <t>20 min alkulämppä + n. 45 min. palauttavaa/pk-alueen soutua</t>
  </si>
  <si>
    <t>20 min alkulämppä + 20 min. loppujäähdyttely</t>
  </si>
  <si>
    <t>20 min. alkulämppä + 15 min. loppujäähdyttely</t>
  </si>
  <si>
    <t>Ohjeet alkulämmittelyyn ja loppujäähdyttelyyn</t>
  </si>
  <si>
    <t>20 min. alkulämppä + 25 min. PK/palauttava harjoituksen loppuun</t>
  </si>
  <si>
    <t>20min. Alkulämppä + 20-35 min. loppujäähdyttely. Pidempi versio jos voimia riittää ja tähtäin on erityisesti pitkillä matkoilla.</t>
  </si>
  <si>
    <t>20min. Alkulämppä + 20-40 min. loppujäähdyttely. Pidempi versio jos voimia riittää ja tähtäin on erityisesti pitkillä matkoilla.</t>
  </si>
  <si>
    <t>15 min. alkulämppä + 10 min. loppujäähdyttely</t>
  </si>
  <si>
    <t>Maratonille riittää 10-15 minuutin alkulämmittely, jonka aikana herättelet aerobisen koneiston. Kevyemmässä versiossa riittää vauhdin nosto aerobiselle kynnykselle, kovemmassa versiossa 2-3 minuuttia tavoiteteholla lämmittelyn loppupuolella (jonka jälkeen pari minuuttia kevyttä soutua). Tarkoitus ei ole ehdyttää energiavarastoja liikaa.</t>
  </si>
  <si>
    <t>15min. Alkulämppä + 10min. Loppujäähdyttely</t>
  </si>
  <si>
    <t>20 min alkulämppä + 30 min. palauttava/peruskestävyys</t>
  </si>
  <si>
    <t>20 min alkulämppä + 15 min. loppujäähdyttely</t>
  </si>
  <si>
    <t>15 min alkulämppä + 15min loppujäähdyttely</t>
  </si>
  <si>
    <t>20 min alkulämppä + 20 min loppujäähdyttely</t>
  </si>
  <si>
    <t>15 min. alkulämppä + 15 min. loppujäähdyttely</t>
  </si>
  <si>
    <t>N. 20 minuutin alkulämmittely, jossa vauhti nostetaan kohti anaerobista kynnystä asteittain.</t>
  </si>
  <si>
    <t>15 min. alkulämppä + 10min. Loppujäähdyttely</t>
  </si>
  <si>
    <t>Ohjeet kova 1</t>
  </si>
  <si>
    <t>Ohjeet lämmittelyyn ja jäähdyttelyyn kova 1</t>
  </si>
  <si>
    <t>Ohjeet kova 2</t>
  </si>
  <si>
    <t>Ohjeet alkulämmittelyyn ja loppujäähdyttelyyn kova 2</t>
  </si>
  <si>
    <t>Ohjeet koviin harjoituksiin</t>
  </si>
  <si>
    <t>Ohjeet alkulämittelyyn ja loppujäähdyttelyyn</t>
  </si>
  <si>
    <t>Harjoituksen tehoalue (W)</t>
  </si>
  <si>
    <t>Harjoituksen vauhtialue (min/500m)</t>
  </si>
  <si>
    <t>2000m kisa/testi</t>
  </si>
  <si>
    <t>5 min. testi</t>
  </si>
  <si>
    <t>20 min testi.</t>
  </si>
  <si>
    <t>viikko 43</t>
  </si>
  <si>
    <t>viikko 50</t>
  </si>
  <si>
    <t>viikko 1</t>
  </si>
  <si>
    <t>10 000m</t>
  </si>
  <si>
    <t>viikko 6</t>
  </si>
  <si>
    <t>viikko 10</t>
  </si>
  <si>
    <t>Ramppitesti</t>
  </si>
  <si>
    <t>Korkein minuutin teho</t>
  </si>
  <si>
    <t>Huippusyke</t>
  </si>
  <si>
    <t>&lt;- Mikäli tiedät, että todellinen huippusykkeesi on korkeampi kuin ramppitestissä saavutettu korkein syke, syötä todellinen huippusykkeesti tähän soluun. Huomioi kuitenkin, että huippusyke laskee n. lyönnin per vuosi, eli käytä sykettä, jonka olet viimeisen vuoden aikana saavuttanut. Mikäli saavutat jossain muussa testissä tai ohjelman aikana korkeamman sykkeen, päivitä se tähän soluun.</t>
  </si>
  <si>
    <t>Viimeisin tulos</t>
  </si>
  <si>
    <t>Kehitys</t>
  </si>
  <si>
    <t>Anaerobinen kapasiteetti (työ, kJ)</t>
  </si>
  <si>
    <t>Anaerobinen kapasiteetti</t>
  </si>
  <si>
    <t>m/s</t>
  </si>
  <si>
    <t>2000m ennuste (W)</t>
  </si>
  <si>
    <t>10km ennuste (W)</t>
  </si>
  <si>
    <t>10km ennuste (aika)</t>
  </si>
  <si>
    <t>m</t>
  </si>
  <si>
    <t>Slope (m)</t>
  </si>
  <si>
    <t>Intercept (m/s)</t>
  </si>
  <si>
    <t>HUOM! Maratonin ennustettua vauhtia ei tule ottaa kirjaimellisesti, vaan luku kuvaa tyypillistä tasoa, jolla harjoitellut pystyy soutamaan maratonin suhteessa kynnystehoon.</t>
  </si>
  <si>
    <t>2000m ennuste (aika)</t>
  </si>
  <si>
    <t>Kynnysteho (W)</t>
  </si>
  <si>
    <t>hh:mm:ss</t>
  </si>
  <si>
    <t>Ennustetut ajat</t>
  </si>
  <si>
    <t>Maksimisyke:</t>
  </si>
  <si>
    <t>% anaerobisesta kynnyksestä</t>
  </si>
  <si>
    <t>Valitse itsellesi sopivin ohjelma vierestä. Alla on esitetty kovan viikon rakenne, sekä harjoitus- ja viikkokohtaisia arvioita harjoituksiin kuluvasta ajasta. Ohjelmaa valitessa kannattaa huomioida 1) realistisuus, ja 2) sopiva haastavuus. 1) Ohjelman tulisi olla sellainen, jota pystyt arjessasi toteuttamaan. 2) Ohjelman tulisi haastaa sinua riittävästi suhteessa aiempaan harjoitteluun, mutta ei liian kovaa. Suosittelen siis vertaamaan harjoitusmääriä aiempien vuosien harjoitteluusi ja valitsemaan ohjelman, joka on joko samalla tasolla tai aavistuksen haastavampi.</t>
  </si>
  <si>
    <t>&lt;- suorituksen loppuaika muodossa tunnit:minuutit:sekunnit (2000m ja 10000m testeistä)</t>
  </si>
  <si>
    <t>Syötä alla oleviin tämän värisiin ruutuihin keskitehosi sekä testin aikana soudettu matka metreissä. 5min ja 20min testejä on ohjelmassa kaksi, syötä kunkin testin tulokset testin viikkoa vastaavalle riville. Mikäli sinulta jää testi välistä, syötä riville joko viime testin tulos tai mahdollisimman realistinen arvio suorituskyvystäsi tällä matkalla. On erittäin tärkeää pitää testitulokset ajan tasalla, koska ohjelma etsii päivämäärän mukaan viimeisimmät testitulokset harjoitusalueiden pohjaksi.</t>
  </si>
  <si>
    <t>Syötä alla oleviin tämän värisiin ruutuihin keskitehosi sekä testin aikana soudettu matka metreissä. 5min ja 20min testejä on ohjelmassa kaksi, syötä kunkin testin tulokset testin viikkoa vastaavalle riville. Mikäli sinulta jää testi välistä, syötä riville joko viime testin tulos tai mahdollisimman realistinen arvio suorituskyvystäsi tällä matkalla. On erittäin tärkeää pitää testitulokset ajan tasalla, koska ohjelma etsii päivämäärän mukaan viimeisimmät testitulokset harjoitusalueiden pohjaksi. Viereisellä sivulla esimerkki täytöstä.</t>
  </si>
  <si>
    <t>Ennustettu maksimiteho keston mukaan.</t>
  </si>
  <si>
    <t>HUOM! Sinun tarvitsee ainostaan valita itsellesi sopivin ohjelma tällä sivulla, sekä valita teetkö voimaharjoittelua. Seuraavalla välilehdellä "Kuntoseuranta" sinun tulee syöttää testituloksesi 5 minuutin ja 20 minuutin testeistä sekä päivittää testituloksia kun testejä (5min, 20min, 2000m ja 10000m) on ohjelmassa, lisäksi syötä maksimisykkeesi sille merkittyyn ruutuun. "Viikko-ohjelma" välilehdeltä löytyy kunkin viikon harjoitusohjelma, jossa harjoitukset on merkitty valitsemasi ohjelman perusteella ja vauhdit harjoituksiin laskettu viimeisimpien testitulosten perusteella On siis tärkeää käydä merkkaamassa testitulokset aina kun ohjelmassa on ollut jokin testeistä, muuten laskuri sekoaa. "Harjoitusalueet" välilehdellä on esitetty sinun testitulostesi perusteella harjoitusalueesi (teho, vauhti ja syke) sekä laskettu ennusteet suorituskyvystäsi eri matkoilla testitulostesi perusteella ÄLÄ MUOKKAA SOLUJA TÄLLÄ SIVULLA. "Kausisuunnitelma" välilehdeltä voit tarkkailla kauden rakennetta, mutta ÄLÄ MUOKKAA SOLUJA. Loput välilehdet liittyvät puhtaasti ohjelman toimintaan, ÄLÄ SIIS MUOKKAA NIITÄ.</t>
  </si>
  <si>
    <t>10x4min/2min</t>
  </si>
  <si>
    <t>10x5min/2min</t>
  </si>
  <si>
    <t>Sarjojen pituus pysyy samana, jos pystyt voit tähdätä kovempaan keskivauhtiin/tehoon</t>
  </si>
  <si>
    <t>10x6min/2min</t>
  </si>
  <si>
    <t>4x10min/2min</t>
  </si>
  <si>
    <t>4*20min/5min</t>
  </si>
  <si>
    <t>Nostetaan intervallien määrää edellisestä viikosta. Mikäli sinulla on varaa, suorita toinen 20*1min sarja nousujohteisesti loppuun.</t>
  </si>
  <si>
    <t>4x8min/2min</t>
  </si>
  <si>
    <t>4x12min/2min</t>
  </si>
  <si>
    <t>Noin 10km tavoitevauhtia, tasainen tai asteittain nousujohteinen vauhdinjako</t>
  </si>
  <si>
    <t>20min alkulämppä + 20min loppujäähdyttely</t>
  </si>
  <si>
    <t>Aavistuksen kovempi vauhti kuin edellisessä jaksossa.</t>
  </si>
  <si>
    <t>Samalla vauhdilla kuin viime viikolla vetojen kesto kasvaa.</t>
  </si>
  <si>
    <t>Samalla vauhdilla kuin viime viikolla, vetojen kesto kasvaa.</t>
  </si>
  <si>
    <t>Ohjelmassa maraton/puolimaraton. Tämän alueen vauhtiennuste ei ole niin tarkka, joten kannattaa huomioida omat aiemmat tulokset. Ens kertaa maratonille lähtevälle suosittelen tehoksi suunnilleen aerobisen kynnyksen tehoa josta voit sitten mahdollisuuksien mukaan nostaa tehoa suorituksen aikana. Vastaavasti hyvät pitkän matkan ominaisuudet omaava voi suoriutua maratonista jopa hyvin lähellä anaerobista kynnystään.</t>
  </si>
  <si>
    <t>Kynnysvauhtinen harjoitus, jonka kestoa kasvatetaan asteittain. Tässä vaiheessa harjoitus on haastava, mutta kaikkien intervallien tulisi sujua suht helposti.</t>
  </si>
  <si>
    <t>20 min alkulämmittely + 20min loppujäähdyttely</t>
  </si>
  <si>
    <t>Vauhtitavoite sama, vetojen kesto kasvaa viime viikosta.</t>
  </si>
  <si>
    <t>Voit pyrkiä aavistuksen kovempaan vauhtiin kuin toissa viikolla.</t>
  </si>
  <si>
    <t>Huolelliset lämmittelyt ja jäähdyttelyt.</t>
  </si>
  <si>
    <t>Nyt puolestaan vuorossa uusi 20 minuutin testi. Edellisen testin perusteella sinulla tulisi olla käsitys siitä minkälaista tehoa/vauhtia kykenet ylläpitämään. Mikäli edellisen testin vauhdinjako onnistui hyvin, suosittelen lähtemään edellisen testin keskiteholla/-vauhdilla liikkeelle ja katsomaan testin aikana pystytkö nostamaan tehoa/vauhti. KIRJAA YLÖS TESTIN KESKITEHO JA SOUDETTU MATKA JA PÄIVITÄ ARVOT "KUNTOSEURANTA" välilehdelle riville 6.</t>
  </si>
  <si>
    <t>Nyt puolestaan vuorossa uusi 5 minuutin testi. Edellisen testin perusteella sinulla tulisi olla käsitys siitä minkälaista tehoa/vauhtia kykenet ylläpitämään. Mikäli edellisen testin vauhdinjako onnistui hyvin, suosittelen lähtemään edellisen testin keskiteholla/-vauhdilla liikkeelle ja katsomaan testin aikana pystytkö nostamaan tehoa/vauhti. KIRJAA YLÖS TESTIN KESKITEHO JA SOUDETTU MATKA JA PÄIVITÄ ARVOT "KUNTOSEURANTA" välilehdelle riville 7.</t>
  </si>
  <si>
    <t>Vuorossa 10km kisa/testi. Tavoiteteho on laskettu 5min, 20min ja 2000m tulosten perusteella. Suosittelen kuitenkin vertaamaan tavoitetehoa aiempiin tuloksiisi ja säätämään sen mukaan vauhtia. 10km on mahdollista soutaa anaerobisen kynnyksen yläpuolella, mutta tällä alueella myös hyvin pienet muutokset vauhdissa/tehossa vaikuttavat merkittävästi rasitukseen, joten vauhdinjaon onnistuminen on kriittisessä roolissa. Suosittelen itse jakamaan suorituksen henkisesti 5x2km pätkään, jolloin voit 2km välein hieman säätää vauhtiasi tuntuman mukaan. Periaatteessa optimaalinen suoritus saavutetaan tasaisella vauhdinjaolla, mutta tässä on myös riski alkuvauhdin yliarvioimiseen, joten jos epäröit, suosittelen aavistuksen nousujohteista vauhdinjakoa (lähde esimerkiksi liikkeelle viime viikon harjoituksen keskivauhdilla).  KIRJAA YLÖS TESTIN KESKITEHO JA 10KM KULUNUT KOKONAISAIKA JA PÄIVITÄ ARVOT "KUNTOSEURANTA" välilehdelle riville 9.</t>
  </si>
  <si>
    <t>Ohjelmassa 2000m kisa (MM/FIRC)/testi. Tulosta käytetään kuntotasosi seurantaan sekä harjoitusalueittesi päivittämiseen, joten kirjaa testin tulos ylös. Tavoiteteho/vauhti on laskettu 5 minuutin ja 20 minuutin testiesi tulosten perusteella. Voit käyttää tätä lähtökohtana kisaan, mutta pidä kuitenkin mielessäsi, että ennustekäyrä ei ole 100% tarkka. Päivän kuntosi vaihtelee ja viimeisestä testistäkin on vierähtänyt hetki. Kahden viime viikon kovien harjoitusten keskiteho antaa myös hyvän kuvan suorituskykyisyydestäsi 2000m matkalla. KIRJAA YLÖS TESTIN KESKITEHO JA 10KM KULUNUT KOKONAISAIKA JA PÄIVITÄ ARVOT "KUNTOSEURANTA" välilehdelle riville 8.</t>
  </si>
  <si>
    <t>Kasvatetaan sarjojen pituutta viime viikosta 1 minuutilla. Mikäli harjoitus tuntui viime viikolla helpolta voit myös nostaa tehoa, mutta tehon nostossa kannattaa olla maltillinen. Voit myös nostaa tehoa harjoituksen edetessä (erityisesti 6.-10. intervalli).</t>
  </si>
  <si>
    <t>(Ergomaraton)</t>
  </si>
  <si>
    <t>(500m ja 10km)</t>
  </si>
  <si>
    <t>5 minuutin maksimitesti</t>
  </si>
  <si>
    <t>20 minuutin maksimitesti</t>
  </si>
  <si>
    <t>Huolellinen, vähintään 20 minuutin alkulämmittely.</t>
  </si>
  <si>
    <t>Vaihtoehto tälle harjoitukselle on 10km kilpailuun osallistuminen. Tällä viikolla on ohjelmassa vauhtikestävyysharjoitus, jossa pyritään tulevien viikkojen aikana asteittain nostamaan kestoa vauhdin/tehon pysyessä samana. Tämän kovan harjoituksen ei ole tarkoitus olla maksimaalinen, vaan sinulla tulisi olla sellainen olo, että olisit vielä pystynyt tekemään ainakin yhden 10 minuutin sarjan lisää. Jos huomaat harjoituksen aikana, että olet jaksamisen rajoilla, voit aavistuksen keventää tehoa/vauhtia.</t>
  </si>
  <si>
    <t>Harjoitusvauhtien päivittämiseksi vuorossa on uusi 20 minuutin testi. Edellisen testin perusteella sinulla tulisi olla käsitys siitä minkälaista tehoa/vauhtia kykenet ylläpitämään. Mikäli edellisen testin vauhdinjako onnistui hyvin, suosittelen lähtemään edellisen testin keskiteholla/-vauhdilla liikkeelle ja katsomaan testin aikana pystytkö nostamaan tehoa/vauhti. KIRJAA YLÖS TESTIN KESKITEHO JA SOUDETTU MATKA.</t>
  </si>
  <si>
    <t>Pitkät maksimikestävyysalueen harjoitukset jatkuvat, nyt uuden testin perusteella päivitetyt harjoitusvauhdit. Jos viime jaksossa intervallit onnistuivat, pyri nostamaan nyt hieman harjoituksen keskitehoa.</t>
  </si>
  <si>
    <t>3*(10*40sek/20sek*/3-5min</t>
  </si>
  <si>
    <t>500m &amp; 1000m</t>
  </si>
  <si>
    <t>500m sekä 10km kilpailu</t>
  </si>
  <si>
    <t>Kynnysvauhtinen veto</t>
  </si>
  <si>
    <t>Vedoissa taas anaerobisen kynnyksen tuntumaan.</t>
  </si>
  <si>
    <t>Pidempi vauhtikestävyysalueen harjoitus maratonille totuttautumisena.</t>
  </si>
  <si>
    <t>10 min. alkulämppä + 10 min. loppujäähdyttely</t>
  </si>
  <si>
    <t>Pidennetään harjoituksen kestoa viime viikosta.</t>
  </si>
  <si>
    <t xml:space="preserve">Tavoiteteho on sama kuin viime viikolla, mutta harjoituksen haastavuutta nostetaan kasvattamalla intervallin pituutta minuutilla. </t>
  </si>
  <si>
    <t>Kovien osuuksien vauhdit on tarkoitus tähdätä 2000m tavoitevauhdin tuntumaan. Pyri tasaiseen tai aavistuksen nousujohteiseen vauhdinjakoon.</t>
  </si>
  <si>
    <t>20min alkulämmittely + 15min loppujäähdyttely</t>
  </si>
  <si>
    <t>5min testi</t>
  </si>
  <si>
    <t>Pidennätään vetojen kestoa viime viikosta.</t>
  </si>
  <si>
    <t>4*6min/2min</t>
  </si>
  <si>
    <t>Tällä viikolla on ohjelmassa vauhtikestävyysharjoitus, jossa pyritään tulevien viikkojen aikana asteittain nostamaan kestoa vauhdin/tehon pysyessä samana. Tämän kovan harjoituksen ei ole tarkoitus olla maksimaalinen, vaan sinulla tulisi olla sellainen olo, että olisit vielä pystynyt tekemään ainakin yhden sarjan lisää. Jos huomaat harjoituksen aikana, että olet jaksamisen rajoilla, voit aavistuksen keventää tehoa/vauhtia.</t>
  </si>
  <si>
    <t>Harjoitusalueiden määrittämiseksi ohjelmassa on 5 minuutin maksimitesti. Souda huolellisen alkulämmittelyn jälkeen 5 minuuttia niin kovalla keskivauhdilla kuin pystyt ja kirjaa ylös 5 minuutin keskiteho sekä soudettu matka metreissä. Kirjaa tulokset kuntoseuranta välilehden riville 5.</t>
  </si>
  <si>
    <t>Harjoitusalueiden määrittämiseksi ohjelmassa on 20 minuutin maksimitesti. Souda huolellisen alkulämmittelyn jälkeen 20 minuuttia niin kovalla keskivauhdilla kuin pystyt ja kirjaa ylös 5 minuutin keskiteho sekä soudettu matka metreissä. Kirjaa tulokset kuntoseuranta välilehden riville 5.</t>
  </si>
  <si>
    <t>6*4min/2min</t>
  </si>
  <si>
    <t>Kovissa harjoituksissa jatketaan maksimikestävyysalueella, eli anaerobisen kynnyksen yläpuolelle. MK-intervallit suoritetaan kohtalaisen pitkinä, jolloin ne kehittävät tehokkaasti sekä anaerobista kynnystäsi että maksimaalista hapenottokykyäsi. Harjoitus on haastava, mutta sinun tulisi pystyä pitämään yllä samaa tehoa/vauhtia kaikissa intervalleissa, mikäli pystyt, voit asteittain kasvattaa tehoa toisessa 15*1min/30sek sarjassa.</t>
  </si>
  <si>
    <t>MK-intervallit suoritetaan kohtalaisen pitkinä, jolloin ne kehittävät tehokkaasti sekä anaerobista kynnystäsi että maksimaalista hapenottokykyäsi. Harjoitus on haastava, mutta sinun tulisi pystyä pitämään yllä samaa tehoa/vauhtia kaikissa intervalleissa. Mikäli harjoitus tuntuu helpolta, voit 4.-6. intervallilla nostaa asteittain tehoa.</t>
  </si>
  <si>
    <t>Vauhtikestävyysalueen harjoitus. Harjoituksessa ei tulisi olla ongelmia tavoitetehon ylläpitämisessä. Älä kuitenkaan nosta tehoa, harjoituksen tavoite ei ole olla erityisen kuormittava. VAIHTOEHTOISESTI VOIT OSALLISTUA 10KM sisäsoutukilpailuun tällä viikolla.</t>
  </si>
  <si>
    <t>Pidennetään kestoa edellisen viikon harjoituksesta. Lähde liikkeelle viime viikon treenin keskiteholla. VAIHTOEHTOISESTI voit osallistua tänä viikonloppuna soudettanaa puolimaratoniin/maratoniin.</t>
  </si>
  <si>
    <t>3*(8x40sek/20sek)/5min</t>
  </si>
  <si>
    <t>Lisätään muutama 40 sekunnin sarja viime viikkoon verrattuna.</t>
  </si>
  <si>
    <t>6*500m/1min</t>
  </si>
  <si>
    <t>Hyvin kilpailunomainen harjoitus. Tähtää vauhdit lähelle 2000m tavoitetta, mutta aloita ihan vähän sen alapuolelta ja pyri nousujohteisuuteen.</t>
  </si>
  <si>
    <t>2000m kisa</t>
  </si>
  <si>
    <t>Tuntemusten perusteella pidä joko lepopäivä ennen kilpailuja, tai ota lyhyesti tuntumaa kilpailuvauhteihin (4x250-500m/1-2min esimerkiksi).</t>
  </si>
  <si>
    <t>20min. Alkulämppä + 20 min. loppujäähdyttely</t>
  </si>
  <si>
    <t>Ohjelmassa 2000m kisa (MM/FIRC)/testi. Tulosta käytetään kuntotasosi seurantaan sekä harjoitusalueittesi päivittämiseen, joten kirjaa testin tulos ylös. Tavoiteteho/vauhti on laskettu 5 minuutin ja 20 minuutin testiesi tulosten perusteella. Voit käyttää tätä lähtökohtana kisaan, mutta pidä kuitenkin mielessäsi, että ennustekäyrä ei ole 100% tarkka. Päivän kuntosi vaihtelee ja viimeisestä testistäkin on vierähtänyt hetki. Kahden viime viikon kovien harjoitusten keskiteho antaa myös hyvän kuvan suorituskykyisyydestäsi 2000m matkalla. KIRJAA YLÖS TESTIN KESKITEHO JA 2KM KULUNUT KOKONAISAIKA JA PÄIVITÄ ARVOT "KUNTOSEURANTA" välilehdelle riville 8.</t>
  </si>
  <si>
    <t>Palauttelua ennen 10km kisaa, jos tuntuu, että tarvitset tuntumaa kisavauhtiin (10km) voit tehdä 2x2000m/5min tavoitevauhdilla.</t>
  </si>
  <si>
    <t>Palauttava peruskestävyysharjoitus.</t>
  </si>
  <si>
    <t>Pidempiä tasavauhtisa vauhtikestävyysalueen siivuja hieman maratonvauhdin yläpuolella.</t>
  </si>
  <si>
    <t>20min alkulämmittely + 10min loppujäähdyttely</t>
  </si>
  <si>
    <t>Pidennetään harjoituksen kestoa yhdellä pätkällä toissaviikon harjoituksesta, tavoitevauhti lähemmäs maratonvauhtia.</t>
  </si>
  <si>
    <t>Lyhyempi maratonvauhtinen harjoitus, tuntumanottoa ennen viikonloppua.</t>
  </si>
  <si>
    <t>Vauhtikestävyysalueen vetoja anaerobisella kynnyksellä.</t>
  </si>
  <si>
    <t>Kynnysvauhtinen harjoitus</t>
  </si>
  <si>
    <t>20min alkulämppä + 10min loppujäähdyttely</t>
  </si>
  <si>
    <t>4x15min/3min</t>
  </si>
  <si>
    <t xml:space="preserve">6*15min/5min </t>
  </si>
  <si>
    <t>5x15min/5min</t>
  </si>
  <si>
    <t>Yksi intervalli lisää toissa viikonlopun harjoitukseen.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</si>
</sst>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F400]h:mm:ss\ AM/PM"/>
    <numFmt numFmtId="165" formatCode="mm:ss.0;@"/>
    <numFmt numFmtId="166" formatCode="dddd"/>
    <numFmt numFmtId="167" formatCode="0.0"/>
    <numFmt numFmtId="168" formatCode="0.000"/>
  </numFmts>
  <fonts count="17" x14ac:knownFonts="1">
    <font>
      <sz val="12"/>
      <color theme="1"/>
      <name val="Calibri"/>
      <family val="2"/>
      <scheme val="minor"/>
    </font>
    <font>
      <sz val="11"/>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theme="1"/>
      <name val="Calibri"/>
      <family val="2"/>
      <scheme val="minor"/>
    </font>
    <font>
      <b/>
      <sz val="12"/>
      <color theme="0"/>
      <name val="Calibri"/>
      <family val="2"/>
      <scheme val="minor"/>
    </font>
    <font>
      <sz val="11"/>
      <color rgb="FF006100"/>
      <name val="Calibri"/>
      <family val="2"/>
      <scheme val="minor"/>
    </font>
    <font>
      <b/>
      <sz val="11"/>
      <color rgb="FF3F3F3F"/>
      <name val="Calibri"/>
      <family val="2"/>
      <scheme val="minor"/>
    </font>
    <font>
      <b/>
      <sz val="11"/>
      <color rgb="FF9C6500"/>
      <name val="Calibri"/>
      <family val="2"/>
      <scheme val="minor"/>
    </font>
    <font>
      <b/>
      <sz val="11"/>
      <color theme="3"/>
      <name val="Calibri"/>
      <family val="2"/>
      <scheme val="minor"/>
    </font>
    <font>
      <sz val="11"/>
      <color rgb="FF3F3F76"/>
      <name val="Calibri"/>
      <family val="2"/>
      <scheme val="minor"/>
    </font>
    <font>
      <i/>
      <sz val="11"/>
      <color rgb="FF7F7F7F"/>
      <name val="Calibri"/>
      <family val="2"/>
      <scheme val="minor"/>
    </font>
    <font>
      <b/>
      <sz val="11"/>
      <color theme="1"/>
      <name val="Calibri"/>
      <family val="2"/>
      <scheme val="minor"/>
    </font>
    <font>
      <b/>
      <sz val="11"/>
      <color rgb="FF3F3F76"/>
      <name val="Calibri"/>
      <scheme val="minor"/>
    </font>
    <font>
      <b/>
      <sz val="14"/>
      <color theme="1"/>
      <name val="Calibri"/>
      <scheme val="minor"/>
    </font>
    <font>
      <b/>
      <sz val="14"/>
      <color rgb="FFFF0000"/>
      <name val="Calibri"/>
      <scheme val="minor"/>
    </font>
  </fonts>
  <fills count="22">
    <fill>
      <patternFill patternType="none"/>
    </fill>
    <fill>
      <patternFill patternType="gray125"/>
    </fill>
    <fill>
      <patternFill patternType="solid">
        <fgColor theme="4" tint="0.59999389629810485"/>
        <bgColor indexed="64"/>
      </patternFill>
    </fill>
    <fill>
      <patternFill patternType="solid">
        <fgColor rgb="FFFF0000"/>
        <bgColor indexed="64"/>
      </patternFill>
    </fill>
    <fill>
      <patternFill patternType="solid">
        <fgColor theme="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0" tint="-0.14999847407452621"/>
        <bgColor theme="0" tint="-0.14999847407452621"/>
      </patternFill>
    </fill>
    <fill>
      <patternFill patternType="solid">
        <fgColor theme="4"/>
        <bgColor theme="4"/>
      </patternFill>
    </fill>
    <fill>
      <patternFill patternType="solid">
        <fgColor theme="4" tint="0.79998168889431442"/>
        <bgColor theme="4" tint="0.79998168889431442"/>
      </patternFill>
    </fill>
    <fill>
      <patternFill patternType="solid">
        <fgColor rgb="FFC6EFCE"/>
      </patternFill>
    </fill>
    <fill>
      <patternFill patternType="solid">
        <fgColor rgb="FFF2F2F2"/>
      </patternFill>
    </fill>
    <fill>
      <patternFill patternType="solid">
        <fgColor rgb="FFFFFFCC"/>
      </patternFill>
    </fill>
    <fill>
      <patternFill patternType="solid">
        <fgColor theme="8" tint="0.79998168889431442"/>
        <bgColor indexed="65"/>
      </patternFill>
    </fill>
    <fill>
      <patternFill patternType="solid">
        <fgColor theme="5"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FFCC99"/>
      </patternFill>
    </fill>
    <fill>
      <patternFill patternType="solid">
        <fgColor theme="1"/>
        <bgColor indexed="64"/>
      </patternFill>
    </fill>
  </fills>
  <borders count="7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medium">
        <color auto="1"/>
      </bottom>
      <diagonal/>
    </border>
    <border>
      <left/>
      <right/>
      <top style="thin">
        <color theme="1"/>
      </top>
      <bottom/>
      <diagonal/>
    </border>
    <border>
      <left/>
      <right/>
      <top style="thin">
        <color theme="1"/>
      </top>
      <bottom style="thin">
        <color theme="1"/>
      </bottom>
      <diagonal/>
    </border>
    <border>
      <left/>
      <right/>
      <top/>
      <bottom style="thin">
        <color theme="1"/>
      </bottom>
      <diagonal/>
    </border>
    <border>
      <left/>
      <right style="thin">
        <color auto="1"/>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auto="1"/>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diagonal/>
    </border>
    <border>
      <left style="thin">
        <color theme="4" tint="0.39997558519241921"/>
      </left>
      <right/>
      <top/>
      <bottom style="thin">
        <color theme="4" tint="0.39997558519241921"/>
      </bottom>
      <diagonal/>
    </border>
    <border>
      <left style="thin">
        <color theme="4" tint="0.39997558519241921"/>
      </left>
      <right/>
      <top/>
      <bottom style="medium">
        <color auto="1"/>
      </bottom>
      <diagonal/>
    </border>
    <border>
      <left style="thin">
        <color theme="4" tint="0.39997558519241921"/>
      </left>
      <right/>
      <top style="thin">
        <color theme="4" tint="0.39997558519241921"/>
      </top>
      <bottom style="medium">
        <color auto="1"/>
      </bottom>
      <diagonal/>
    </border>
    <border>
      <left/>
      <right/>
      <top style="thin">
        <color theme="4" tint="0.39997558519241921"/>
      </top>
      <bottom style="medium">
        <color auto="1"/>
      </bottom>
      <diagonal/>
    </border>
    <border>
      <left/>
      <right style="thin">
        <color theme="4" tint="0.39997558519241921"/>
      </right>
      <top style="thin">
        <color theme="4" tint="0.39997558519241921"/>
      </top>
      <bottom style="medium">
        <color auto="1"/>
      </bottom>
      <diagonal/>
    </border>
    <border>
      <left/>
      <right style="thin">
        <color theme="4" tint="0.39997558519241921"/>
      </right>
      <top/>
      <bottom style="medium">
        <color auto="1"/>
      </bottom>
      <diagonal/>
    </border>
    <border>
      <left/>
      <right style="thin">
        <color auto="1"/>
      </right>
      <top style="thin">
        <color theme="4" tint="0.39997558519241921"/>
      </top>
      <bottom/>
      <diagonal/>
    </border>
    <border>
      <left/>
      <right style="thin">
        <color auto="1"/>
      </right>
      <top style="thin">
        <color theme="4" tint="0.39997558519241921"/>
      </top>
      <bottom style="medium">
        <color auto="1"/>
      </bottom>
      <diagonal/>
    </border>
    <border>
      <left/>
      <right style="thin">
        <color auto="1"/>
      </right>
      <top/>
      <bottom style="thin">
        <color theme="4" tint="0.39997558519241921"/>
      </bottom>
      <diagonal/>
    </border>
    <border>
      <left/>
      <right style="thin">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medium">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rgb="FF3F3F3F"/>
      </left>
      <right style="thin">
        <color rgb="FF3F3F3F"/>
      </right>
      <top style="medium">
        <color auto="1"/>
      </top>
      <bottom style="thin">
        <color rgb="FF3F3F3F"/>
      </bottom>
      <diagonal/>
    </border>
    <border>
      <left style="thin">
        <color rgb="FF3F3F3F"/>
      </left>
      <right style="medium">
        <color auto="1"/>
      </right>
      <top style="medium">
        <color auto="1"/>
      </top>
      <bottom style="thin">
        <color rgb="FF3F3F3F"/>
      </bottom>
      <diagonal/>
    </border>
    <border>
      <left style="thin">
        <color rgb="FF3F3F3F"/>
      </left>
      <right style="medium">
        <color auto="1"/>
      </right>
      <top style="thin">
        <color rgb="FF3F3F3F"/>
      </top>
      <bottom style="thin">
        <color rgb="FF3F3F3F"/>
      </bottom>
      <diagonal/>
    </border>
    <border>
      <left style="thin">
        <color rgb="FFB2B2B2"/>
      </left>
      <right/>
      <top style="thin">
        <color rgb="FF3F3F3F"/>
      </top>
      <bottom/>
      <diagonal/>
    </border>
    <border>
      <left/>
      <right/>
      <top style="thin">
        <color rgb="FF3F3F3F"/>
      </top>
      <bottom/>
      <diagonal/>
    </border>
    <border>
      <left style="thin">
        <color rgb="FFB2B2B2"/>
      </left>
      <right/>
      <top/>
      <bottom/>
      <diagonal/>
    </border>
    <border>
      <left/>
      <right style="thin">
        <color rgb="FFB2B2B2"/>
      </right>
      <top/>
      <bottom/>
      <diagonal/>
    </border>
    <border>
      <left/>
      <right style="double">
        <color rgb="FF3F3F3F"/>
      </right>
      <top/>
      <bottom/>
      <diagonal/>
    </border>
    <border>
      <left style="double">
        <color rgb="FF3F3F3F"/>
      </left>
      <right/>
      <top/>
      <bottom/>
      <diagonal/>
    </border>
    <border>
      <left/>
      <right style="medium">
        <color auto="1"/>
      </right>
      <top style="thin">
        <color rgb="FF3F3F3F"/>
      </top>
      <bottom/>
      <diagonal/>
    </border>
    <border>
      <left style="medium">
        <color auto="1"/>
      </left>
      <right style="double">
        <color rgb="FF3F3F3F"/>
      </right>
      <top style="double">
        <color rgb="FF3F3F3F"/>
      </top>
      <bottom style="double">
        <color rgb="FF3F3F3F"/>
      </bottom>
      <diagonal/>
    </border>
    <border>
      <left style="medium">
        <color auto="1"/>
      </left>
      <right style="double">
        <color rgb="FF3F3F3F"/>
      </right>
      <top style="double">
        <color rgb="FF3F3F3F"/>
      </top>
      <bottom style="medium">
        <color auto="1"/>
      </bottom>
      <diagonal/>
    </border>
    <border>
      <left style="double">
        <color rgb="FF3F3F3F"/>
      </left>
      <right style="double">
        <color rgb="FF3F3F3F"/>
      </right>
      <top style="double">
        <color rgb="FF3F3F3F"/>
      </top>
      <bottom style="medium">
        <color auto="1"/>
      </bottom>
      <diagonal/>
    </border>
    <border>
      <left/>
      <right/>
      <top/>
      <bottom style="double">
        <color rgb="FF3F3F3F"/>
      </bottom>
      <diagonal/>
    </border>
    <border>
      <left/>
      <right style="double">
        <color rgb="FF3F3F3F"/>
      </right>
      <top/>
      <bottom style="double">
        <color rgb="FF3F3F3F"/>
      </bottom>
      <diagonal/>
    </border>
    <border>
      <left style="double">
        <color rgb="FF3F3F3F"/>
      </left>
      <right/>
      <top/>
      <bottom style="medium">
        <color auto="1"/>
      </bottom>
      <diagonal/>
    </border>
    <border>
      <left style="double">
        <color rgb="FF3F3F3F"/>
      </left>
      <right/>
      <top/>
      <bottom style="double">
        <color auto="1"/>
      </bottom>
      <diagonal/>
    </border>
    <border>
      <left/>
      <right/>
      <top/>
      <bottom style="double">
        <color auto="1"/>
      </bottom>
      <diagonal/>
    </border>
    <border>
      <left/>
      <right style="medium">
        <color auto="1"/>
      </right>
      <top/>
      <bottom style="double">
        <color auto="1"/>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style="thin">
        <color rgb="FF7F7F7F"/>
      </top>
      <bottom/>
      <diagonal/>
    </border>
    <border>
      <left style="thin">
        <color rgb="FF7F7F7F"/>
      </left>
      <right/>
      <top style="thin">
        <color rgb="FF7F7F7F"/>
      </top>
      <bottom/>
      <diagonal/>
    </border>
    <border>
      <left/>
      <right style="thin">
        <color rgb="FF7F7F7F"/>
      </right>
      <top style="thin">
        <color rgb="FF7F7F7F"/>
      </top>
      <bottom/>
      <diagonal/>
    </border>
    <border>
      <left style="thin">
        <color rgb="FF7F7F7F"/>
      </left>
      <right/>
      <top/>
      <bottom style="thin">
        <color rgb="FF7F7F7F"/>
      </bottom>
      <diagonal/>
    </border>
    <border>
      <left/>
      <right/>
      <top/>
      <bottom style="thin">
        <color rgb="FF7F7F7F"/>
      </bottom>
      <diagonal/>
    </border>
    <border>
      <left/>
      <right style="thin">
        <color rgb="FF7F7F7F"/>
      </right>
      <top/>
      <bottom style="thin">
        <color rgb="FF7F7F7F"/>
      </bottom>
      <diagonal/>
    </border>
    <border>
      <left style="thin">
        <color auto="1"/>
      </left>
      <right/>
      <top/>
      <bottom/>
      <diagonal/>
    </border>
    <border>
      <left style="thin">
        <color theme="5"/>
      </left>
      <right/>
      <top style="thin">
        <color theme="5"/>
      </top>
      <bottom/>
      <diagonal/>
    </border>
    <border>
      <left style="thin">
        <color theme="5"/>
      </left>
      <right/>
      <top style="thin">
        <color theme="5"/>
      </top>
      <bottom style="thin">
        <color theme="5"/>
      </bottom>
      <diagonal/>
    </border>
  </borders>
  <cellStyleXfs count="1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5"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7" fillId="12" borderId="0" applyNumberFormat="0" applyBorder="0" applyAlignment="0" applyProtection="0"/>
    <xf numFmtId="0" fontId="8" fillId="13" borderId="40" applyNumberFormat="0" applyAlignment="0" applyProtection="0"/>
    <xf numFmtId="0" fontId="5" fillId="14" borderId="42" applyNumberFormat="0" applyFont="0" applyAlignment="0" applyProtection="0"/>
    <xf numFmtId="0" fontId="1" fillId="15" borderId="0" applyNumberFormat="0" applyBorder="0" applyAlignment="0" applyProtection="0"/>
    <xf numFmtId="0" fontId="10" fillId="0" borderId="65" applyNumberFormat="0" applyFill="0" applyAlignment="0" applyProtection="0"/>
    <xf numFmtId="0" fontId="10" fillId="0" borderId="0" applyNumberFormat="0" applyFill="0" applyBorder="0" applyAlignment="0" applyProtection="0"/>
    <xf numFmtId="0" fontId="11" fillId="20" borderId="66" applyNumberFormat="0" applyAlignment="0" applyProtection="0"/>
    <xf numFmtId="0" fontId="12" fillId="0" borderId="0" applyNumberFormat="0" applyFill="0" applyBorder="0" applyAlignment="0" applyProtection="0"/>
    <xf numFmtId="0" fontId="13" fillId="0" borderId="67" applyNumberFormat="0" applyFill="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18">
    <xf numFmtId="0" fontId="0" fillId="0" borderId="0" xfId="0"/>
    <xf numFmtId="1" fontId="0" fillId="0" borderId="0" xfId="0" applyNumberFormat="1"/>
    <xf numFmtId="0" fontId="2" fillId="0" borderId="0" xfId="0" applyFont="1"/>
    <xf numFmtId="1" fontId="2" fillId="0" borderId="0" xfId="0" applyNumberFormat="1" applyFont="1"/>
    <xf numFmtId="0" fontId="2" fillId="2" borderId="1" xfId="0" applyFont="1" applyFill="1" applyBorder="1"/>
    <xf numFmtId="0" fontId="2" fillId="7" borderId="2" xfId="0" applyFont="1" applyFill="1" applyBorder="1"/>
    <xf numFmtId="0" fontId="2" fillId="6" borderId="2" xfId="0" applyFont="1" applyFill="1" applyBorder="1"/>
    <xf numFmtId="0" fontId="2" fillId="5" borderId="2" xfId="0" applyFont="1" applyFill="1" applyBorder="1"/>
    <xf numFmtId="0" fontId="2" fillId="4" borderId="2" xfId="0" applyFont="1" applyFill="1" applyBorder="1"/>
    <xf numFmtId="0" fontId="2" fillId="3" borderId="3" xfId="0" applyFont="1" applyFill="1" applyBorder="1"/>
    <xf numFmtId="1" fontId="0" fillId="2" borderId="4" xfId="0" applyNumberFormat="1" applyFill="1" applyBorder="1"/>
    <xf numFmtId="1" fontId="0" fillId="7" borderId="5" xfId="0" applyNumberFormat="1" applyFill="1" applyBorder="1"/>
    <xf numFmtId="1" fontId="0" fillId="6" borderId="5" xfId="0" applyNumberFormat="1" applyFill="1" applyBorder="1"/>
    <xf numFmtId="1" fontId="0" fillId="5" borderId="5" xfId="0" applyNumberFormat="1" applyFill="1" applyBorder="1"/>
    <xf numFmtId="1" fontId="0" fillId="4" borderId="5" xfId="0" applyNumberFormat="1" applyFill="1" applyBorder="1"/>
    <xf numFmtId="1" fontId="0" fillId="3" borderId="6" xfId="0" applyNumberFormat="1" applyFill="1" applyBorder="1"/>
    <xf numFmtId="1" fontId="0" fillId="2" borderId="7" xfId="0" applyNumberFormat="1" applyFill="1" applyBorder="1"/>
    <xf numFmtId="1" fontId="0" fillId="7" borderId="8" xfId="0" applyNumberFormat="1" applyFill="1" applyBorder="1"/>
    <xf numFmtId="1" fontId="0" fillId="6" borderId="8" xfId="0" applyNumberFormat="1" applyFill="1" applyBorder="1"/>
    <xf numFmtId="1" fontId="0" fillId="5" borderId="8" xfId="0" applyNumberFormat="1" applyFill="1" applyBorder="1"/>
    <xf numFmtId="1" fontId="0" fillId="4" borderId="8" xfId="0" applyNumberFormat="1" applyFill="1" applyBorder="1"/>
    <xf numFmtId="1" fontId="0" fillId="3" borderId="9" xfId="0" applyNumberFormat="1" applyFill="1" applyBorder="1"/>
    <xf numFmtId="18" fontId="0" fillId="0" borderId="0" xfId="0" applyNumberFormat="1"/>
    <xf numFmtId="14" fontId="0" fillId="0" borderId="0" xfId="0" applyNumberFormat="1"/>
    <xf numFmtId="0" fontId="0" fillId="0" borderId="0" xfId="0" applyFont="1"/>
    <xf numFmtId="164" fontId="0" fillId="2" borderId="4" xfId="0" applyNumberFormat="1" applyFill="1" applyBorder="1"/>
    <xf numFmtId="165" fontId="0" fillId="0" borderId="0" xfId="0" applyNumberFormat="1"/>
    <xf numFmtId="2" fontId="0" fillId="0" borderId="0" xfId="0" applyNumberFormat="1"/>
    <xf numFmtId="164" fontId="0" fillId="7" borderId="5" xfId="0" applyNumberFormat="1" applyFill="1" applyBorder="1"/>
    <xf numFmtId="164" fontId="0" fillId="6" borderId="5" xfId="0" applyNumberFormat="1" applyFill="1" applyBorder="1"/>
    <xf numFmtId="164" fontId="0" fillId="5" borderId="5" xfId="0" applyNumberFormat="1" applyFill="1" applyBorder="1"/>
    <xf numFmtId="164" fontId="0" fillId="4" borderId="5" xfId="0" applyNumberFormat="1" applyFill="1" applyBorder="1"/>
    <xf numFmtId="164" fontId="0" fillId="3" borderId="6" xfId="0" applyNumberFormat="1" applyFill="1" applyBorder="1"/>
    <xf numFmtId="164" fontId="0" fillId="7" borderId="8" xfId="0" applyNumberFormat="1" applyFill="1" applyBorder="1"/>
    <xf numFmtId="164" fontId="0" fillId="6" borderId="8" xfId="0" applyNumberFormat="1" applyFill="1" applyBorder="1"/>
    <xf numFmtId="164" fontId="0" fillId="5" borderId="8" xfId="0" applyNumberFormat="1" applyFill="1" applyBorder="1"/>
    <xf numFmtId="164" fontId="0" fillId="4" borderId="8" xfId="0" applyNumberFormat="1" applyFill="1" applyBorder="1"/>
    <xf numFmtId="164" fontId="0" fillId="3" borderId="9" xfId="0" applyNumberFormat="1" applyFill="1" applyBorder="1"/>
    <xf numFmtId="0" fontId="0" fillId="0" borderId="0" xfId="0" applyNumberFormat="1"/>
    <xf numFmtId="166" fontId="0" fillId="0" borderId="0" xfId="0" applyNumberFormat="1"/>
    <xf numFmtId="164" fontId="0" fillId="0" borderId="0" xfId="0" applyNumberFormat="1"/>
    <xf numFmtId="0" fontId="0" fillId="0" borderId="0" xfId="0" applyAlignment="1">
      <alignment horizontal="center"/>
    </xf>
    <xf numFmtId="0" fontId="2" fillId="0" borderId="0" xfId="0" applyFont="1" applyAlignment="1">
      <alignment wrapText="1"/>
    </xf>
    <xf numFmtId="0" fontId="2" fillId="0" borderId="0" xfId="0" applyFont="1" applyAlignment="1">
      <alignment horizontal="center" wrapText="1"/>
    </xf>
    <xf numFmtId="49" fontId="0" fillId="0" borderId="0" xfId="0" applyNumberFormat="1"/>
    <xf numFmtId="165" fontId="2" fillId="0" borderId="0" xfId="0" applyNumberFormat="1" applyFont="1"/>
    <xf numFmtId="167" fontId="0" fillId="0" borderId="0" xfId="0" applyNumberFormat="1"/>
    <xf numFmtId="0" fontId="0" fillId="0" borderId="0" xfId="0" applyAlignment="1">
      <alignment horizontal="right"/>
    </xf>
    <xf numFmtId="0" fontId="2" fillId="0" borderId="0" xfId="0" applyFont="1" applyAlignment="1">
      <alignment horizontal="left"/>
    </xf>
    <xf numFmtId="0" fontId="0" fillId="0" borderId="10" xfId="0" applyBorder="1"/>
    <xf numFmtId="0" fontId="0" fillId="0" borderId="0" xfId="0" applyAlignment="1">
      <alignment wrapText="1"/>
    </xf>
    <xf numFmtId="0" fontId="0" fillId="0" borderId="11" xfId="0" applyFont="1" applyBorder="1"/>
    <xf numFmtId="0" fontId="2" fillId="0" borderId="12" xfId="0" applyFont="1" applyBorder="1"/>
    <xf numFmtId="0" fontId="0" fillId="9" borderId="0" xfId="0" applyFont="1" applyFill="1"/>
    <xf numFmtId="0" fontId="0" fillId="9" borderId="13" xfId="0" applyFont="1" applyFill="1" applyBorder="1"/>
    <xf numFmtId="0" fontId="0" fillId="0" borderId="14" xfId="0" applyBorder="1"/>
    <xf numFmtId="0" fontId="2" fillId="0" borderId="0" xfId="0" applyFont="1" applyAlignment="1">
      <alignment horizontal="center" wrapText="1"/>
    </xf>
    <xf numFmtId="0" fontId="0" fillId="11" borderId="16" xfId="0" applyFont="1" applyFill="1" applyBorder="1"/>
    <xf numFmtId="0" fontId="0" fillId="0" borderId="16" xfId="0" applyFont="1" applyBorder="1"/>
    <xf numFmtId="1" fontId="0" fillId="0" borderId="16" xfId="0" applyNumberFormat="1" applyFont="1" applyBorder="1"/>
    <xf numFmtId="1" fontId="0" fillId="11" borderId="16" xfId="0" applyNumberFormat="1" applyFont="1" applyFill="1" applyBorder="1"/>
    <xf numFmtId="0" fontId="0" fillId="11" borderId="18" xfId="0" applyFont="1" applyFill="1" applyBorder="1"/>
    <xf numFmtId="0" fontId="6" fillId="10" borderId="15" xfId="0" applyFont="1" applyFill="1" applyBorder="1" applyAlignment="1">
      <alignment wrapText="1"/>
    </xf>
    <xf numFmtId="0" fontId="6" fillId="10" borderId="16" xfId="0" applyFont="1" applyFill="1" applyBorder="1" applyAlignment="1">
      <alignment wrapText="1"/>
    </xf>
    <xf numFmtId="0" fontId="6" fillId="10" borderId="18" xfId="0" applyFont="1" applyFill="1" applyBorder="1" applyAlignment="1">
      <alignment wrapText="1"/>
    </xf>
    <xf numFmtId="14" fontId="0" fillId="11" borderId="15" xfId="0" applyNumberFormat="1" applyFont="1" applyFill="1" applyBorder="1"/>
    <xf numFmtId="167" fontId="0" fillId="11" borderId="16" xfId="0" applyNumberFormat="1" applyFont="1" applyFill="1" applyBorder="1"/>
    <xf numFmtId="14" fontId="0" fillId="0" borderId="15" xfId="0" applyNumberFormat="1" applyFont="1" applyBorder="1"/>
    <xf numFmtId="167" fontId="0" fillId="0" borderId="16" xfId="0" applyNumberFormat="1" applyFont="1" applyBorder="1"/>
    <xf numFmtId="0" fontId="0" fillId="0" borderId="18" xfId="0" applyFont="1" applyBorder="1"/>
    <xf numFmtId="0" fontId="0" fillId="0" borderId="21" xfId="0" applyFont="1" applyBorder="1"/>
    <xf numFmtId="0" fontId="0" fillId="0" borderId="22" xfId="0" applyFont="1" applyBorder="1"/>
    <xf numFmtId="167" fontId="0" fillId="0" borderId="21" xfId="0" applyNumberFormat="1" applyFont="1" applyBorder="1"/>
    <xf numFmtId="1" fontId="0" fillId="0" borderId="21" xfId="0" applyNumberFormat="1" applyFont="1" applyBorder="1"/>
    <xf numFmtId="9" fontId="0" fillId="0" borderId="0" xfId="13" applyFont="1"/>
    <xf numFmtId="9" fontId="0" fillId="11" borderId="16" xfId="13" applyFont="1" applyFill="1" applyBorder="1"/>
    <xf numFmtId="9" fontId="0" fillId="0" borderId="16" xfId="13" applyFont="1" applyBorder="1"/>
    <xf numFmtId="14" fontId="0" fillId="11" borderId="24" xfId="0" applyNumberFormat="1" applyFont="1" applyFill="1" applyBorder="1"/>
    <xf numFmtId="0" fontId="0" fillId="11" borderId="19" xfId="0" applyFont="1" applyFill="1" applyBorder="1"/>
    <xf numFmtId="0" fontId="0" fillId="11" borderId="20" xfId="0" applyFont="1" applyFill="1" applyBorder="1"/>
    <xf numFmtId="167" fontId="0" fillId="11" borderId="19" xfId="0" applyNumberFormat="1" applyFont="1" applyFill="1" applyBorder="1"/>
    <xf numFmtId="9" fontId="0" fillId="11" borderId="19" xfId="13" applyFont="1" applyFill="1" applyBorder="1"/>
    <xf numFmtId="1" fontId="0" fillId="11" borderId="19" xfId="0" applyNumberFormat="1" applyFont="1" applyFill="1" applyBorder="1"/>
    <xf numFmtId="167" fontId="0" fillId="0" borderId="19" xfId="0" applyNumberFormat="1" applyFont="1" applyBorder="1"/>
    <xf numFmtId="14" fontId="0" fillId="0" borderId="26" xfId="0" applyNumberFormat="1" applyFont="1" applyBorder="1"/>
    <xf numFmtId="0" fontId="0" fillId="0" borderId="27" xfId="0" applyFont="1" applyBorder="1"/>
    <xf numFmtId="0" fontId="0" fillId="0" borderId="28" xfId="0" applyFont="1" applyBorder="1"/>
    <xf numFmtId="167" fontId="0" fillId="0" borderId="27" xfId="0" applyNumberFormat="1" applyFont="1" applyBorder="1"/>
    <xf numFmtId="9" fontId="0" fillId="0" borderId="27" xfId="13" applyFont="1" applyBorder="1"/>
    <xf numFmtId="1" fontId="0" fillId="11" borderId="27" xfId="0" applyNumberFormat="1" applyFont="1" applyFill="1" applyBorder="1"/>
    <xf numFmtId="167" fontId="0" fillId="11" borderId="27" xfId="0" applyNumberFormat="1" applyFont="1" applyFill="1" applyBorder="1"/>
    <xf numFmtId="14" fontId="0" fillId="0" borderId="23" xfId="0" applyNumberFormat="1" applyFont="1" applyBorder="1"/>
    <xf numFmtId="9" fontId="0" fillId="0" borderId="21" xfId="13" applyFont="1" applyBorder="1"/>
    <xf numFmtId="1" fontId="0" fillId="11" borderId="21" xfId="0" applyNumberFormat="1" applyFont="1" applyFill="1" applyBorder="1"/>
    <xf numFmtId="167" fontId="0" fillId="11" borderId="21" xfId="0" applyNumberFormat="1" applyFont="1" applyFill="1" applyBorder="1"/>
    <xf numFmtId="14" fontId="0" fillId="11" borderId="0" xfId="0" applyNumberFormat="1" applyFont="1" applyFill="1" applyBorder="1"/>
    <xf numFmtId="0" fontId="0" fillId="11" borderId="0" xfId="0" applyFont="1" applyFill="1" applyBorder="1"/>
    <xf numFmtId="167" fontId="0" fillId="11" borderId="0" xfId="0" applyNumberFormat="1" applyFont="1" applyFill="1" applyBorder="1"/>
    <xf numFmtId="1" fontId="0" fillId="11" borderId="0" xfId="0" applyNumberFormat="1" applyFont="1" applyFill="1" applyBorder="1"/>
    <xf numFmtId="9" fontId="0" fillId="11" borderId="0" xfId="13" applyFont="1" applyFill="1" applyBorder="1"/>
    <xf numFmtId="167" fontId="0" fillId="0" borderId="0" xfId="0" applyNumberFormat="1" applyFont="1" applyBorder="1"/>
    <xf numFmtId="0" fontId="0" fillId="0" borderId="0" xfId="0" applyBorder="1"/>
    <xf numFmtId="14" fontId="0" fillId="0" borderId="25" xfId="0" applyNumberFormat="1" applyFont="1" applyBorder="1"/>
    <xf numFmtId="0" fontId="0" fillId="0" borderId="10" xfId="0" applyFont="1" applyBorder="1"/>
    <xf numFmtId="0" fontId="0" fillId="0" borderId="29" xfId="0" applyFont="1" applyBorder="1"/>
    <xf numFmtId="167" fontId="0" fillId="0" borderId="10" xfId="0" applyNumberFormat="1" applyFont="1" applyBorder="1"/>
    <xf numFmtId="9" fontId="0" fillId="0" borderId="10" xfId="13" applyFont="1" applyBorder="1"/>
    <xf numFmtId="1" fontId="0" fillId="11" borderId="10" xfId="0" applyNumberFormat="1" applyFont="1" applyFill="1" applyBorder="1"/>
    <xf numFmtId="167" fontId="0" fillId="11" borderId="10" xfId="0" applyNumberFormat="1" applyFont="1" applyFill="1" applyBorder="1"/>
    <xf numFmtId="0" fontId="6" fillId="10" borderId="17" xfId="0" applyFont="1" applyFill="1" applyBorder="1" applyAlignment="1">
      <alignment wrapText="1"/>
    </xf>
    <xf numFmtId="167" fontId="0" fillId="11" borderId="17" xfId="0" applyNumberFormat="1" applyFont="1" applyFill="1" applyBorder="1"/>
    <xf numFmtId="167" fontId="0" fillId="11" borderId="31" xfId="0" applyNumberFormat="1" applyFont="1" applyFill="1" applyBorder="1"/>
    <xf numFmtId="167" fontId="0" fillId="11" borderId="32" xfId="0" applyNumberFormat="1" applyFont="1" applyFill="1" applyBorder="1"/>
    <xf numFmtId="167" fontId="0" fillId="11" borderId="30" xfId="0" applyNumberFormat="1" applyFont="1" applyFill="1" applyBorder="1"/>
    <xf numFmtId="167" fontId="0" fillId="11" borderId="14" xfId="0" applyNumberFormat="1" applyFont="1" applyFill="1" applyBorder="1"/>
    <xf numFmtId="167" fontId="0" fillId="11" borderId="33" xfId="0" applyNumberFormat="1" applyFont="1" applyFill="1" applyBorder="1"/>
    <xf numFmtId="168" fontId="0" fillId="11" borderId="19" xfId="0" applyNumberFormat="1" applyFont="1" applyFill="1" applyBorder="1"/>
    <xf numFmtId="168" fontId="0" fillId="0" borderId="16" xfId="0" applyNumberFormat="1" applyFont="1" applyBorder="1"/>
    <xf numFmtId="0" fontId="2" fillId="0" borderId="0" xfId="0" applyFont="1" applyAlignment="1">
      <alignment horizontal="center" wrapText="1"/>
    </xf>
    <xf numFmtId="0" fontId="0" fillId="0" borderId="0" xfId="0" applyFont="1" applyBorder="1"/>
    <xf numFmtId="0" fontId="0" fillId="0" borderId="2" xfId="0" applyBorder="1" applyAlignment="1">
      <alignment horizontal="center"/>
    </xf>
    <xf numFmtId="0" fontId="2" fillId="16" borderId="0" xfId="0" applyFont="1" applyFill="1" applyBorder="1" applyAlignment="1">
      <alignment horizontal="center" vertical="center"/>
    </xf>
    <xf numFmtId="0" fontId="2" fillId="17" borderId="0" xfId="0" applyFont="1" applyFill="1" applyBorder="1" applyAlignment="1">
      <alignment horizontal="center" vertical="center"/>
    </xf>
    <xf numFmtId="0" fontId="2" fillId="17" borderId="38" xfId="0" applyFont="1" applyFill="1" applyBorder="1" applyAlignment="1">
      <alignment horizontal="center" vertical="center"/>
    </xf>
    <xf numFmtId="0" fontId="7" fillId="12" borderId="35" xfId="62" applyBorder="1"/>
    <xf numFmtId="0" fontId="2" fillId="18" borderId="37" xfId="0" applyFont="1" applyFill="1" applyBorder="1" applyAlignment="1">
      <alignment horizontal="center"/>
    </xf>
    <xf numFmtId="14" fontId="0" fillId="18" borderId="43" xfId="0" applyNumberFormat="1" applyFont="1" applyFill="1" applyBorder="1" applyAlignment="1">
      <alignment horizontal="center"/>
    </xf>
    <xf numFmtId="166" fontId="0" fillId="18" borderId="2" xfId="0" applyNumberFormat="1" applyFont="1" applyFill="1" applyBorder="1" applyAlignment="1">
      <alignment horizontal="center"/>
    </xf>
    <xf numFmtId="0" fontId="2" fillId="18" borderId="0" xfId="0" applyFont="1" applyFill="1" applyBorder="1"/>
    <xf numFmtId="0" fontId="2" fillId="0" borderId="0" xfId="0" applyFont="1" applyBorder="1" applyAlignment="1">
      <alignment horizontal="center" wrapText="1"/>
    </xf>
    <xf numFmtId="0" fontId="2" fillId="19" borderId="0" xfId="0" applyFont="1" applyFill="1" applyBorder="1" applyAlignment="1">
      <alignment horizontal="center"/>
    </xf>
    <xf numFmtId="0" fontId="2" fillId="19" borderId="2" xfId="0" applyFont="1" applyFill="1" applyBorder="1" applyAlignment="1">
      <alignment horizontal="center"/>
    </xf>
    <xf numFmtId="14" fontId="0" fillId="18" borderId="44" xfId="0" applyNumberFormat="1" applyFont="1" applyFill="1" applyBorder="1" applyAlignment="1">
      <alignment horizontal="center"/>
    </xf>
    <xf numFmtId="166" fontId="0" fillId="18" borderId="45" xfId="0" applyNumberFormat="1" applyFont="1" applyFill="1" applyBorder="1" applyAlignment="1">
      <alignment horizontal="center"/>
    </xf>
    <xf numFmtId="0" fontId="2" fillId="19" borderId="45" xfId="0" applyFont="1" applyFill="1" applyBorder="1" applyAlignment="1">
      <alignment horizontal="center"/>
    </xf>
    <xf numFmtId="0" fontId="0" fillId="0" borderId="45" xfId="0" applyBorder="1" applyAlignment="1">
      <alignment horizontal="center"/>
    </xf>
    <xf numFmtId="1" fontId="8" fillId="16" borderId="46" xfId="63" applyNumberFormat="1" applyFill="1" applyBorder="1" applyAlignment="1">
      <alignment horizontal="center"/>
    </xf>
    <xf numFmtId="165" fontId="8" fillId="17" borderId="46" xfId="63" applyNumberFormat="1" applyFill="1" applyBorder="1" applyAlignment="1">
      <alignment horizontal="center"/>
    </xf>
    <xf numFmtId="165" fontId="8" fillId="17" borderId="47" xfId="63" applyNumberFormat="1" applyFill="1" applyBorder="1" applyAlignment="1">
      <alignment horizontal="center"/>
    </xf>
    <xf numFmtId="1" fontId="8" fillId="16" borderId="40" xfId="63" applyNumberFormat="1" applyFill="1" applyBorder="1" applyAlignment="1">
      <alignment horizontal="center"/>
    </xf>
    <xf numFmtId="165" fontId="8" fillId="17" borderId="40" xfId="63" applyNumberFormat="1" applyFill="1" applyBorder="1" applyAlignment="1">
      <alignment horizontal="center"/>
    </xf>
    <xf numFmtId="165" fontId="8" fillId="17" borderId="48" xfId="63" applyNumberFormat="1" applyFill="1" applyBorder="1" applyAlignment="1">
      <alignment horizontal="center"/>
    </xf>
    <xf numFmtId="0" fontId="2" fillId="17" borderId="0" xfId="0" applyFont="1" applyFill="1" applyBorder="1" applyAlignment="1">
      <alignment wrapText="1"/>
    </xf>
    <xf numFmtId="1" fontId="2" fillId="17" borderId="45" xfId="0" applyNumberFormat="1" applyFont="1" applyFill="1" applyBorder="1"/>
    <xf numFmtId="1" fontId="2" fillId="17" borderId="2" xfId="0" applyNumberFormat="1" applyFont="1" applyFill="1" applyBorder="1"/>
    <xf numFmtId="0" fontId="7" fillId="12" borderId="34" xfId="62" applyBorder="1" applyAlignment="1">
      <alignment horizontal="center" vertical="center"/>
    </xf>
    <xf numFmtId="0" fontId="7" fillId="12" borderId="35" xfId="62" applyBorder="1" applyAlignment="1">
      <alignment vertical="center"/>
    </xf>
    <xf numFmtId="0" fontId="7" fillId="12" borderId="35" xfId="62"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0" fontId="11" fillId="20" borderId="66" xfId="68"/>
    <xf numFmtId="0" fontId="0" fillId="21" borderId="0" xfId="0" applyFill="1"/>
    <xf numFmtId="0" fontId="13" fillId="0" borderId="67" xfId="70"/>
    <xf numFmtId="21" fontId="11" fillId="20" borderId="66" xfId="68" applyNumberFormat="1"/>
    <xf numFmtId="1" fontId="0" fillId="0" borderId="0" xfId="0" applyNumberFormat="1" applyAlignment="1">
      <alignment horizontal="center"/>
    </xf>
    <xf numFmtId="0" fontId="10" fillId="0" borderId="0" xfId="67" applyAlignment="1">
      <alignment horizontal="center" vertical="center"/>
    </xf>
    <xf numFmtId="0" fontId="12" fillId="0" borderId="0" xfId="69" applyAlignment="1">
      <alignment horizontal="center" vertical="center" wrapText="1"/>
    </xf>
    <xf numFmtId="165" fontId="0" fillId="0" borderId="0" xfId="0" applyNumberFormat="1" applyAlignment="1">
      <alignment horizontal="center"/>
    </xf>
    <xf numFmtId="167" fontId="0" fillId="0" borderId="0" xfId="0" applyNumberFormat="1" applyAlignment="1">
      <alignment horizontal="center"/>
    </xf>
    <xf numFmtId="1" fontId="0" fillId="0" borderId="0" xfId="0" applyNumberFormat="1" applyAlignment="1">
      <alignment horizontal="center" vertical="center"/>
    </xf>
    <xf numFmtId="0" fontId="10" fillId="0" borderId="0" xfId="66" applyBorder="1" applyAlignment="1">
      <alignment wrapText="1"/>
    </xf>
    <xf numFmtId="0" fontId="0" fillId="0" borderId="0" xfId="0" applyAlignment="1">
      <alignment horizontal="left" vertical="center" wrapText="1"/>
    </xf>
    <xf numFmtId="0" fontId="2" fillId="0" borderId="0" xfId="0" applyFont="1" applyAlignment="1">
      <alignment horizontal="left" vertical="center" wrapText="1"/>
    </xf>
    <xf numFmtId="164" fontId="2" fillId="0" borderId="0" xfId="0" applyNumberFormat="1" applyFont="1" applyAlignment="1">
      <alignment horizontal="left" vertical="center" wrapText="1"/>
    </xf>
    <xf numFmtId="0" fontId="0" fillId="0" borderId="0" xfId="0" applyAlignment="1">
      <alignment horizontal="center"/>
    </xf>
    <xf numFmtId="2" fontId="2" fillId="0" borderId="0" xfId="0" applyNumberFormat="1" applyFont="1"/>
    <xf numFmtId="14" fontId="0" fillId="0" borderId="75" xfId="0" applyNumberFormat="1" applyFont="1" applyBorder="1"/>
    <xf numFmtId="14" fontId="0" fillId="0" borderId="76" xfId="0" applyNumberFormat="1" applyFont="1" applyBorder="1"/>
    <xf numFmtId="0" fontId="15" fillId="0" borderId="0" xfId="0" applyFont="1" applyAlignment="1">
      <alignment horizontal="center" vertical="center" wrapText="1"/>
    </xf>
    <xf numFmtId="0" fontId="16" fillId="0" borderId="0" xfId="0" applyFont="1" applyAlignment="1">
      <alignment horizontal="center" wrapText="1"/>
    </xf>
    <xf numFmtId="0" fontId="0" fillId="0" borderId="0" xfId="0" applyAlignment="1">
      <alignment horizontal="center"/>
    </xf>
    <xf numFmtId="0" fontId="12" fillId="0" borderId="0" xfId="69" applyAlignment="1">
      <alignment horizontal="left" vertical="top" wrapText="1"/>
    </xf>
    <xf numFmtId="0" fontId="14" fillId="20" borderId="69" xfId="68" applyFont="1" applyBorder="1" applyAlignment="1">
      <alignment horizontal="center" vertical="center" wrapText="1"/>
    </xf>
    <xf numFmtId="0" fontId="14" fillId="20" borderId="68" xfId="68" applyFont="1" applyBorder="1" applyAlignment="1">
      <alignment horizontal="center" vertical="center" wrapText="1"/>
    </xf>
    <xf numFmtId="0" fontId="14" fillId="20" borderId="70" xfId="68" applyFont="1" applyBorder="1" applyAlignment="1">
      <alignment horizontal="center" vertical="center" wrapText="1"/>
    </xf>
    <xf numFmtId="0" fontId="14" fillId="20" borderId="71" xfId="68" applyFont="1" applyBorder="1" applyAlignment="1">
      <alignment horizontal="center" vertical="center" wrapText="1"/>
    </xf>
    <xf numFmtId="0" fontId="14" fillId="20" borderId="72" xfId="68" applyFont="1" applyBorder="1" applyAlignment="1">
      <alignment horizontal="center" vertical="center" wrapText="1"/>
    </xf>
    <xf numFmtId="0" fontId="14" fillId="20" borderId="73" xfId="68" applyFont="1" applyBorder="1" applyAlignment="1">
      <alignment horizontal="center" vertical="center" wrapText="1"/>
    </xf>
    <xf numFmtId="0" fontId="2" fillId="0" borderId="68" xfId="0" applyFont="1" applyBorder="1" applyAlignment="1">
      <alignment horizontal="center"/>
    </xf>
    <xf numFmtId="0" fontId="2" fillId="0" borderId="0" xfId="0" applyFont="1" applyAlignment="1">
      <alignment horizontal="center" vertical="center"/>
    </xf>
    <xf numFmtId="0" fontId="2" fillId="14" borderId="37" xfId="64" applyFont="1" applyBorder="1" applyAlignment="1">
      <alignment horizontal="center"/>
    </xf>
    <xf numFmtId="0" fontId="2" fillId="14" borderId="0" xfId="64" applyFont="1" applyBorder="1" applyAlignment="1">
      <alignment horizontal="center"/>
    </xf>
    <xf numFmtId="0" fontId="2" fillId="14" borderId="53" xfId="64" applyFont="1" applyBorder="1" applyAlignment="1">
      <alignment horizontal="center"/>
    </xf>
    <xf numFmtId="0" fontId="1" fillId="15" borderId="54" xfId="65" applyBorder="1" applyAlignment="1">
      <alignment horizontal="center" vertical="center" wrapText="1"/>
    </xf>
    <xf numFmtId="0" fontId="1" fillId="15" borderId="0" xfId="65" applyBorder="1" applyAlignment="1">
      <alignment horizontal="center" vertical="center" wrapText="1"/>
    </xf>
    <xf numFmtId="0" fontId="1" fillId="15" borderId="38" xfId="65" applyBorder="1" applyAlignment="1">
      <alignment horizontal="center" vertical="center" wrapText="1"/>
    </xf>
    <xf numFmtId="0" fontId="1" fillId="15" borderId="61" xfId="65" applyBorder="1" applyAlignment="1">
      <alignment horizontal="center" vertical="center" wrapText="1"/>
    </xf>
    <xf numFmtId="0" fontId="1" fillId="15" borderId="10" xfId="65" applyBorder="1" applyAlignment="1">
      <alignment horizontal="center" vertical="center" wrapText="1"/>
    </xf>
    <xf numFmtId="0" fontId="1" fillId="15" borderId="39" xfId="65" applyBorder="1" applyAlignment="1">
      <alignment horizontal="center" vertical="center" wrapText="1"/>
    </xf>
    <xf numFmtId="0" fontId="1" fillId="15" borderId="56" xfId="65" applyBorder="1" applyAlignment="1">
      <alignment horizontal="center" vertical="center" wrapText="1"/>
    </xf>
    <xf numFmtId="0" fontId="1" fillId="15" borderId="41" xfId="65" applyBorder="1" applyAlignment="1">
      <alignment horizontal="center" vertical="center" wrapText="1"/>
    </xf>
    <xf numFmtId="0" fontId="1" fillId="15" borderId="57" xfId="65" applyBorder="1" applyAlignment="1">
      <alignment horizontal="center" vertical="center" wrapText="1"/>
    </xf>
    <xf numFmtId="0" fontId="1" fillId="15" borderId="58" xfId="65" applyBorder="1" applyAlignment="1">
      <alignment horizontal="center" vertical="center" wrapText="1"/>
    </xf>
    <xf numFmtId="0" fontId="9" fillId="14" borderId="37" xfId="64" applyFont="1" applyBorder="1" applyAlignment="1">
      <alignment horizontal="center" wrapText="1"/>
    </xf>
    <xf numFmtId="0" fontId="9" fillId="14" borderId="0" xfId="64" applyFont="1" applyBorder="1" applyAlignment="1">
      <alignment horizontal="center" wrapText="1"/>
    </xf>
    <xf numFmtId="0" fontId="9" fillId="14" borderId="52" xfId="64" applyFont="1" applyBorder="1" applyAlignment="1">
      <alignment horizontal="center" wrapText="1"/>
    </xf>
    <xf numFmtId="0" fontId="2" fillId="14" borderId="49" xfId="64" applyFont="1" applyBorder="1" applyAlignment="1">
      <alignment horizontal="center" wrapText="1"/>
    </xf>
    <xf numFmtId="0" fontId="2" fillId="14" borderId="50" xfId="64" applyFont="1" applyBorder="1" applyAlignment="1">
      <alignment horizontal="center" wrapText="1"/>
    </xf>
    <xf numFmtId="0" fontId="2" fillId="14" borderId="55" xfId="64" applyFont="1" applyBorder="1" applyAlignment="1">
      <alignment horizontal="center" wrapText="1"/>
    </xf>
    <xf numFmtId="0" fontId="2" fillId="14" borderId="51" xfId="64" applyFont="1" applyBorder="1" applyAlignment="1">
      <alignment horizontal="center" wrapText="1"/>
    </xf>
    <xf numFmtId="0" fontId="2" fillId="14" borderId="0" xfId="64" applyFont="1" applyBorder="1" applyAlignment="1">
      <alignment horizontal="center" wrapText="1"/>
    </xf>
    <xf numFmtId="0" fontId="2" fillId="14" borderId="38" xfId="64" applyFont="1" applyBorder="1" applyAlignment="1">
      <alignment horizontal="center" wrapText="1"/>
    </xf>
    <xf numFmtId="0" fontId="2" fillId="14" borderId="52" xfId="64" applyFont="1" applyBorder="1" applyAlignment="1">
      <alignment horizontal="center"/>
    </xf>
    <xf numFmtId="0" fontId="1" fillId="15" borderId="53" xfId="65" applyBorder="1" applyAlignment="1">
      <alignment horizontal="center" vertical="center" wrapText="1"/>
    </xf>
    <xf numFmtId="0" fontId="1" fillId="15" borderId="59" xfId="65" applyBorder="1" applyAlignment="1">
      <alignment horizontal="center" vertical="center" wrapText="1"/>
    </xf>
    <xf numFmtId="0" fontId="1" fillId="15" borderId="60" xfId="65" applyBorder="1" applyAlignment="1">
      <alignment horizontal="center" vertical="center" wrapText="1"/>
    </xf>
    <xf numFmtId="0" fontId="1" fillId="15" borderId="62" xfId="65" applyBorder="1" applyAlignment="1">
      <alignment horizontal="center" vertical="center" wrapText="1"/>
    </xf>
    <xf numFmtId="0" fontId="1" fillId="15" borderId="63" xfId="65" applyBorder="1" applyAlignment="1">
      <alignment horizontal="center" vertical="center" wrapText="1"/>
    </xf>
    <xf numFmtId="0" fontId="1" fillId="15" borderId="64" xfId="65" applyBorder="1" applyAlignment="1">
      <alignment horizontal="center" vertical="center" wrapText="1"/>
    </xf>
    <xf numFmtId="0" fontId="2" fillId="16" borderId="35" xfId="0" applyFont="1" applyFill="1" applyBorder="1" applyAlignment="1">
      <alignment horizontal="center" wrapText="1"/>
    </xf>
    <xf numFmtId="0" fontId="2" fillId="17" borderId="35" xfId="0" applyFont="1" applyFill="1" applyBorder="1" applyAlignment="1">
      <alignment horizontal="center" wrapText="1"/>
    </xf>
    <xf numFmtId="0" fontId="2" fillId="17" borderId="36" xfId="0" applyFont="1" applyFill="1" applyBorder="1" applyAlignment="1">
      <alignment horizontal="center" wrapText="1"/>
    </xf>
    <xf numFmtId="1" fontId="8" fillId="16" borderId="40" xfId="63" applyNumberFormat="1" applyFill="1" applyBorder="1" applyAlignment="1">
      <alignment horizontal="center"/>
    </xf>
    <xf numFmtId="165" fontId="8" fillId="17" borderId="40" xfId="63" applyNumberFormat="1" applyFill="1" applyBorder="1" applyAlignment="1">
      <alignment horizontal="center"/>
    </xf>
    <xf numFmtId="165" fontId="8" fillId="17" borderId="48" xfId="63" applyNumberFormat="1" applyFill="1" applyBorder="1" applyAlignment="1">
      <alignment horizontal="center"/>
    </xf>
    <xf numFmtId="0" fontId="2" fillId="8" borderId="0" xfId="0" applyFont="1" applyFill="1" applyAlignment="1">
      <alignment horizontal="center" wrapText="1"/>
    </xf>
    <xf numFmtId="0" fontId="2" fillId="0" borderId="74" xfId="0" applyFont="1" applyBorder="1" applyAlignment="1">
      <alignment horizontal="center" wrapText="1"/>
    </xf>
    <xf numFmtId="0" fontId="2" fillId="0" borderId="0" xfId="0" applyFont="1" applyBorder="1" applyAlignment="1">
      <alignment horizontal="center" wrapText="1"/>
    </xf>
  </cellXfs>
  <cellStyles count="117">
    <cellStyle name="20 % - Aksentti5" xfId="65" builtinId="46"/>
    <cellStyle name="Avattu hyperlinkki" xfId="2" builtinId="9" hidden="1"/>
    <cellStyle name="Avattu hyperlinkki" xfId="4" builtinId="9" hidden="1"/>
    <cellStyle name="Avattu hyperlinkki" xfId="6" builtinId="9" hidden="1"/>
    <cellStyle name="Avattu hyperlinkki" xfId="8" builtinId="9" hidden="1"/>
    <cellStyle name="Avattu hyperlinkki" xfId="10" builtinId="9" hidden="1"/>
    <cellStyle name="Avattu hyperlinkki" xfId="12" builtinId="9" hidden="1"/>
    <cellStyle name="Avattu hyperlinkki" xfId="15" builtinId="9" hidden="1"/>
    <cellStyle name="Avattu hyperlinkki" xfId="17" builtinId="9" hidden="1"/>
    <cellStyle name="Avattu hyperlinkki" xfId="19" builtinId="9" hidden="1"/>
    <cellStyle name="Avattu hyperlinkki" xfId="21" builtinId="9" hidden="1"/>
    <cellStyle name="Avattu hyperlinkki" xfId="23" builtinId="9" hidden="1"/>
    <cellStyle name="Avattu hyperlinkki" xfId="25" builtinId="9" hidden="1"/>
    <cellStyle name="Avattu hyperlinkki" xfId="27" builtinId="9" hidden="1"/>
    <cellStyle name="Avattu hyperlinkki" xfId="29" builtinId="9" hidden="1"/>
    <cellStyle name="Avattu hyperlinkki" xfId="31" builtinId="9" hidden="1"/>
    <cellStyle name="Avattu hyperlinkki" xfId="33" builtinId="9" hidden="1"/>
    <cellStyle name="Avattu hyperlinkki" xfId="35" builtinId="9" hidden="1"/>
    <cellStyle name="Avattu hyperlinkki" xfId="37" builtinId="9" hidden="1"/>
    <cellStyle name="Avattu hyperlinkki" xfId="39" builtinId="9" hidden="1"/>
    <cellStyle name="Avattu hyperlinkki" xfId="41" builtinId="9" hidden="1"/>
    <cellStyle name="Avattu hyperlinkki" xfId="43" builtinId="9" hidden="1"/>
    <cellStyle name="Avattu hyperlinkki" xfId="45" builtinId="9" hidden="1"/>
    <cellStyle name="Avattu hyperlinkki" xfId="47" builtinId="9" hidden="1"/>
    <cellStyle name="Avattu hyperlinkki" xfId="49" builtinId="9" hidden="1"/>
    <cellStyle name="Avattu hyperlinkki" xfId="51" builtinId="9" hidden="1"/>
    <cellStyle name="Avattu hyperlinkki" xfId="53" builtinId="9" hidden="1"/>
    <cellStyle name="Avattu hyperlinkki" xfId="55" builtinId="9" hidden="1"/>
    <cellStyle name="Avattu hyperlinkki" xfId="57" builtinId="9" hidden="1"/>
    <cellStyle name="Avattu hyperlinkki" xfId="59" builtinId="9" hidden="1"/>
    <cellStyle name="Avattu hyperlinkki" xfId="61" builtinId="9" hidden="1"/>
    <cellStyle name="Avattu hyperlinkki" xfId="72" builtinId="9" hidden="1"/>
    <cellStyle name="Avattu hyperlinkki" xfId="74" builtinId="9" hidden="1"/>
    <cellStyle name="Avattu hyperlinkki" xfId="76" builtinId="9" hidden="1"/>
    <cellStyle name="Avattu hyperlinkki" xfId="78" builtinId="9" hidden="1"/>
    <cellStyle name="Avattu hyperlinkki" xfId="80" builtinId="9" hidden="1"/>
    <cellStyle name="Avattu hyperlinkki" xfId="82" builtinId="9" hidden="1"/>
    <cellStyle name="Avattu hyperlinkki" xfId="84" builtinId="9" hidden="1"/>
    <cellStyle name="Avattu hyperlinkki" xfId="86" builtinId="9" hidden="1"/>
    <cellStyle name="Avattu hyperlinkki" xfId="88" builtinId="9" hidden="1"/>
    <cellStyle name="Avattu hyperlinkki" xfId="90" builtinId="9" hidden="1"/>
    <cellStyle name="Avattu hyperlinkki" xfId="92" builtinId="9" hidden="1"/>
    <cellStyle name="Avattu hyperlinkki" xfId="94" builtinId="9" hidden="1"/>
    <cellStyle name="Avattu hyperlinkki" xfId="96" builtinId="9" hidden="1"/>
    <cellStyle name="Avattu hyperlinkki" xfId="98" builtinId="9" hidden="1"/>
    <cellStyle name="Avattu hyperlinkki" xfId="100" builtinId="9" hidden="1"/>
    <cellStyle name="Avattu hyperlinkki" xfId="102" builtinId="9" hidden="1"/>
    <cellStyle name="Avattu hyperlinkki" xfId="104" builtinId="9" hidden="1"/>
    <cellStyle name="Avattu hyperlinkki" xfId="106" builtinId="9" hidden="1"/>
    <cellStyle name="Avattu hyperlinkki" xfId="108" builtinId="9" hidden="1"/>
    <cellStyle name="Avattu hyperlinkki" xfId="110" builtinId="9" hidden="1"/>
    <cellStyle name="Avattu hyperlinkki" xfId="112" builtinId="9" hidden="1"/>
    <cellStyle name="Avattu hyperlinkki" xfId="114" builtinId="9" hidden="1"/>
    <cellStyle name="Avattu hyperlinkki" xfId="116" builtinId="9" hidden="1"/>
    <cellStyle name="Huomautus" xfId="64" builtinId="10"/>
    <cellStyle name="Hyperlinkki" xfId="1" builtinId="8" hidden="1"/>
    <cellStyle name="Hyperlinkki" xfId="3" builtinId="8" hidden="1"/>
    <cellStyle name="Hyperlinkki" xfId="5" builtinId="8" hidden="1"/>
    <cellStyle name="Hyperlinkki" xfId="7" builtinId="8" hidden="1"/>
    <cellStyle name="Hyperlinkki" xfId="9" builtinId="8" hidden="1"/>
    <cellStyle name="Hyperlinkki" xfId="11" builtinId="8" hidden="1"/>
    <cellStyle name="Hyperlinkki" xfId="14" builtinId="8" hidden="1"/>
    <cellStyle name="Hyperlinkki" xfId="16" builtinId="8" hidden="1"/>
    <cellStyle name="Hyperlinkki" xfId="18" builtinId="8" hidden="1"/>
    <cellStyle name="Hyperlinkki" xfId="20" builtinId="8" hidden="1"/>
    <cellStyle name="Hyperlinkki" xfId="22" builtinId="8" hidden="1"/>
    <cellStyle name="Hyperlinkki" xfId="24" builtinId="8" hidden="1"/>
    <cellStyle name="Hyperlinkki" xfId="26" builtinId="8" hidden="1"/>
    <cellStyle name="Hyperlinkki" xfId="28" builtinId="8" hidden="1"/>
    <cellStyle name="Hyperlinkki" xfId="30" builtinId="8" hidden="1"/>
    <cellStyle name="Hyperlinkki" xfId="32" builtinId="8" hidden="1"/>
    <cellStyle name="Hyperlinkki" xfId="34" builtinId="8" hidden="1"/>
    <cellStyle name="Hyperlinkki" xfId="36" builtinId="8" hidden="1"/>
    <cellStyle name="Hyperlinkki" xfId="38" builtinId="8" hidden="1"/>
    <cellStyle name="Hyperlinkki" xfId="40" builtinId="8" hidden="1"/>
    <cellStyle name="Hyperlinkki" xfId="42" builtinId="8" hidden="1"/>
    <cellStyle name="Hyperlinkki" xfId="44" builtinId="8" hidden="1"/>
    <cellStyle name="Hyperlinkki" xfId="46" builtinId="8" hidden="1"/>
    <cellStyle name="Hyperlinkki" xfId="48" builtinId="8" hidden="1"/>
    <cellStyle name="Hyperlinkki" xfId="50" builtinId="8" hidden="1"/>
    <cellStyle name="Hyperlinkki" xfId="52" builtinId="8" hidden="1"/>
    <cellStyle name="Hyperlinkki" xfId="54" builtinId="8" hidden="1"/>
    <cellStyle name="Hyperlinkki" xfId="56" builtinId="8" hidden="1"/>
    <cellStyle name="Hyperlinkki" xfId="58" builtinId="8" hidden="1"/>
    <cellStyle name="Hyperlinkki" xfId="60" builtinId="8" hidden="1"/>
    <cellStyle name="Hyperlinkki" xfId="71" builtinId="8" hidden="1"/>
    <cellStyle name="Hyperlinkki" xfId="73" builtinId="8" hidden="1"/>
    <cellStyle name="Hyperlinkki" xfId="75" builtinId="8" hidden="1"/>
    <cellStyle name="Hyperlinkki" xfId="77" builtinId="8" hidden="1"/>
    <cellStyle name="Hyperlinkki" xfId="79" builtinId="8" hidden="1"/>
    <cellStyle name="Hyperlinkki" xfId="81" builtinId="8" hidden="1"/>
    <cellStyle name="Hyperlinkki" xfId="83" builtinId="8" hidden="1"/>
    <cellStyle name="Hyperlinkki" xfId="85" builtinId="8" hidden="1"/>
    <cellStyle name="Hyperlinkki" xfId="87" builtinId="8" hidden="1"/>
    <cellStyle name="Hyperlinkki" xfId="89" builtinId="8" hidden="1"/>
    <cellStyle name="Hyperlinkki" xfId="91" builtinId="8" hidden="1"/>
    <cellStyle name="Hyperlinkki" xfId="93" builtinId="8" hidden="1"/>
    <cellStyle name="Hyperlinkki" xfId="95" builtinId="8" hidden="1"/>
    <cellStyle name="Hyperlinkki" xfId="97" builtinId="8" hidden="1"/>
    <cellStyle name="Hyperlinkki" xfId="99" builtinId="8" hidden="1"/>
    <cellStyle name="Hyperlinkki" xfId="101" builtinId="8" hidden="1"/>
    <cellStyle name="Hyperlinkki" xfId="103" builtinId="8" hidden="1"/>
    <cellStyle name="Hyperlinkki" xfId="105" builtinId="8" hidden="1"/>
    <cellStyle name="Hyperlinkki" xfId="107" builtinId="8" hidden="1"/>
    <cellStyle name="Hyperlinkki" xfId="109" builtinId="8" hidden="1"/>
    <cellStyle name="Hyperlinkki" xfId="111" builtinId="8" hidden="1"/>
    <cellStyle name="Hyperlinkki" xfId="113" builtinId="8" hidden="1"/>
    <cellStyle name="Hyperlinkki" xfId="115" builtinId="8" hidden="1"/>
    <cellStyle name="Hyvä" xfId="62" builtinId="26"/>
    <cellStyle name="Normaali" xfId="0" builtinId="0"/>
    <cellStyle name="Otsikko 3" xfId="66" builtinId="18"/>
    <cellStyle name="Otsikko 4" xfId="67" builtinId="19"/>
    <cellStyle name="Prosenttia" xfId="13" builtinId="5"/>
    <cellStyle name="Selittävä teksti" xfId="69" builtinId="53"/>
    <cellStyle name="Summa" xfId="70" builtinId="25"/>
    <cellStyle name="Syöttö" xfId="68" builtinId="20"/>
    <cellStyle name="Tulostus" xfId="63" builtinId="21"/>
  </cellStyles>
  <dxfs count="49">
    <dxf>
      <numFmt numFmtId="1" formatCode="0"/>
    </dxf>
    <dxf>
      <numFmt numFmtId="1" formatCode="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ont>
        <b/>
        <i val="0"/>
        <strike val="0"/>
        <condense val="0"/>
        <extend val="0"/>
        <outline val="0"/>
        <shadow val="0"/>
        <u val="none"/>
        <vertAlign val="baseline"/>
        <sz val="12"/>
        <color theme="1"/>
        <name val="Calibri"/>
        <scheme val="minor"/>
      </font>
    </dxf>
    <dxf>
      <numFmt numFmtId="167" formatCode="0.0"/>
    </dxf>
    <dxf>
      <numFmt numFmtId="1" formatCode="0"/>
    </dxf>
    <dxf>
      <numFmt numFmtId="167" formatCode="0.0"/>
    </dxf>
    <dxf>
      <numFmt numFmtId="0" formatCode="General"/>
    </dxf>
    <dxf>
      <numFmt numFmtId="0" formatCode="General"/>
    </dxf>
    <dxf>
      <numFmt numFmtId="0" formatCode="General"/>
    </dxf>
    <dxf>
      <numFmt numFmtId="19" formatCode="d/m/yyyy"/>
    </dxf>
    <dxf>
      <numFmt numFmtId="19" formatCode="d/m/yyyy"/>
    </dxf>
    <dxf>
      <numFmt numFmtId="13" formatCode="0\ %"/>
    </dxf>
    <dxf>
      <numFmt numFmtId="1" formatCode="0"/>
    </dxf>
    <dxf>
      <numFmt numFmtId="1" formatCode="0"/>
    </dxf>
    <dxf>
      <numFmt numFmtId="165" formatCode="mm:ss.0;@"/>
    </dxf>
    <dxf>
      <numFmt numFmtId="164" formatCode="[$-F400]h:mm:ss\ AM/PM"/>
    </dxf>
    <dxf>
      <numFmt numFmtId="165" formatCode="mm:ss.0;@"/>
    </dxf>
    <dxf>
      <numFmt numFmtId="164" formatCode="[$-F400]h:mm:ss\ AM/PM"/>
    </dxf>
    <dxf>
      <numFmt numFmtId="164" formatCode="[$-F400]h:mm:ss\ AM/PM"/>
    </dxf>
    <dxf>
      <alignment horizontal="right" vertical="bottom" textRotation="0" wrapText="0" indent="0" justifyLastLine="0" shrinkToFit="0" readingOrder="0"/>
    </dxf>
    <dxf>
      <numFmt numFmtId="2" formatCode="0.00"/>
    </dxf>
    <dxf>
      <numFmt numFmtId="1" formatCode="0"/>
    </dxf>
    <dxf>
      <numFmt numFmtId="169" formatCode="h:mm\ AM/PM"/>
    </dxf>
    <dxf>
      <numFmt numFmtId="1" formatCode="0"/>
      <alignment vertical="center" textRotation="0" wrapText="0" justifyLastLine="0" shrinkToFit="0"/>
    </dxf>
    <dxf>
      <numFmt numFmtId="169" formatCode="h:mm\ AM/PM"/>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9" formatCode="d/m/yyyy"/>
    </dxf>
    <dxf>
      <alignment horizontal="left" vertical="center" textRotation="0" wrapText="1" indent="0" justifyLastLine="0" shrinkToFit="0"/>
    </dxf>
    <dxf>
      <numFmt numFmtId="2" formatCode="0.00"/>
    </dxf>
    <dxf>
      <numFmt numFmtId="1" formatCode="0"/>
    </dxf>
    <dxf>
      <numFmt numFmtId="169" formatCode="h:mm\ AM/PM"/>
    </dxf>
    <dxf>
      <numFmt numFmtId="1" formatCode="0"/>
      <alignment vertical="center" textRotation="0" wrapText="0" justifyLastLine="0" shrinkToFit="0"/>
    </dxf>
    <dxf>
      <numFmt numFmtId="169" formatCode="h:mm\ AM/PM"/>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67" formatCode="0.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9" formatCode="d/m/yyyy"/>
      <border diagonalUp="0" diagonalDown="0">
        <left style="thin">
          <color theme="5"/>
        </left>
        <right/>
        <top style="thin">
          <color theme="5"/>
        </top>
        <bottom/>
        <vertical/>
        <horizontal/>
      </border>
    </dxf>
    <dxf>
      <alignment horizontal="left" vertical="center" textRotation="0" wrapText="1" indent="0" justifyLastLine="0" shrinkToFit="0"/>
    </dxf>
    <dxf>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i-FI"/>
              <a:t>Suorituskyvyn</a:t>
            </a:r>
            <a:r>
              <a:rPr lang="fi-FI" baseline="0"/>
              <a:t> kehitys</a:t>
            </a:r>
            <a:endParaRPr lang="fi-FI"/>
          </a:p>
        </c:rich>
      </c:tx>
      <c:overlay val="0"/>
    </c:title>
    <c:autoTitleDeleted val="0"/>
    <c:plotArea>
      <c:layout/>
      <c:lineChart>
        <c:grouping val="standard"/>
        <c:varyColors val="0"/>
        <c:ser>
          <c:idx val="0"/>
          <c:order val="0"/>
          <c:tx>
            <c:strRef>
              <c:f>Table11[[#Headers],[Kynnysteho (W)]]</c:f>
              <c:strCache>
                <c:ptCount val="1"/>
                <c:pt idx="0">
                  <c:v>Kynnysteho (W)</c:v>
                </c:pt>
              </c:strCache>
            </c:strRef>
          </c:tx>
          <c:val>
            <c:numRef>
              <c:f>Table11[Kynnysteho (W)]</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322C-4980-98CB-9C2ACEB1E637}"/>
            </c:ext>
          </c:extLst>
        </c:ser>
        <c:ser>
          <c:idx val="1"/>
          <c:order val="1"/>
          <c:tx>
            <c:strRef>
              <c:f>Table11[[#Headers],[2000m ennuste (W)]]</c:f>
              <c:strCache>
                <c:ptCount val="1"/>
                <c:pt idx="0">
                  <c:v>2000m ennuste (W)</c:v>
                </c:pt>
              </c:strCache>
            </c:strRef>
          </c:tx>
          <c:val>
            <c:numRef>
              <c:f>Table11[2000m ennuste (W)]</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22C-4980-98CB-9C2ACEB1E637}"/>
            </c:ext>
          </c:extLst>
        </c:ser>
        <c:ser>
          <c:idx val="2"/>
          <c:order val="2"/>
          <c:tx>
            <c:strRef>
              <c:f>Table11[[#Headers],[10km ennuste (W)]]</c:f>
              <c:strCache>
                <c:ptCount val="1"/>
                <c:pt idx="0">
                  <c:v>10km ennuste (W)</c:v>
                </c:pt>
              </c:strCache>
            </c:strRef>
          </c:tx>
          <c:val>
            <c:numRef>
              <c:f>Table11[10km ennuste (W)]</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322C-4980-98CB-9C2ACEB1E637}"/>
            </c:ext>
          </c:extLst>
        </c:ser>
        <c:dLbls>
          <c:showLegendKey val="0"/>
          <c:showVal val="0"/>
          <c:showCatName val="0"/>
          <c:showSerName val="0"/>
          <c:showPercent val="0"/>
          <c:showBubbleSize val="0"/>
        </c:dLbls>
        <c:marker val="1"/>
        <c:smooth val="0"/>
        <c:axId val="2135984680"/>
        <c:axId val="2135987656"/>
      </c:lineChart>
      <c:catAx>
        <c:axId val="2135984680"/>
        <c:scaling>
          <c:orientation val="minMax"/>
        </c:scaling>
        <c:delete val="0"/>
        <c:axPos val="b"/>
        <c:majorTickMark val="out"/>
        <c:minorTickMark val="none"/>
        <c:tickLblPos val="nextTo"/>
        <c:crossAx val="2135987656"/>
        <c:crosses val="autoZero"/>
        <c:auto val="1"/>
        <c:lblAlgn val="ctr"/>
        <c:lblOffset val="100"/>
        <c:noMultiLvlLbl val="0"/>
      </c:catAx>
      <c:valAx>
        <c:axId val="2135987656"/>
        <c:scaling>
          <c:orientation val="minMax"/>
        </c:scaling>
        <c:delete val="0"/>
        <c:axPos val="l"/>
        <c:majorGridlines/>
        <c:numFmt formatCode="0" sourceLinked="1"/>
        <c:majorTickMark val="out"/>
        <c:minorTickMark val="none"/>
        <c:tickLblPos val="nextTo"/>
        <c:crossAx val="2135984680"/>
        <c:crosses val="autoZero"/>
        <c:crossBetween val="between"/>
      </c:valAx>
    </c:plotArea>
    <c:legend>
      <c:legendPos val="r"/>
      <c:overlay val="0"/>
    </c:legend>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i-FI"/>
              <a:t>Suorituskyvyn</a:t>
            </a:r>
            <a:r>
              <a:rPr lang="fi-FI" baseline="0"/>
              <a:t> kehitys</a:t>
            </a:r>
            <a:endParaRPr lang="fi-FI"/>
          </a:p>
        </c:rich>
      </c:tx>
      <c:overlay val="0"/>
    </c:title>
    <c:autoTitleDeleted val="0"/>
    <c:plotArea>
      <c:layout/>
      <c:lineChart>
        <c:grouping val="standard"/>
        <c:varyColors val="0"/>
        <c:ser>
          <c:idx val="0"/>
          <c:order val="0"/>
          <c:tx>
            <c:strRef>
              <c:f>'Esimerkki kuntoseuranta'!$C$13</c:f>
              <c:strCache>
                <c:ptCount val="1"/>
                <c:pt idx="0">
                  <c:v>Kynnysteho (W)</c:v>
                </c:pt>
              </c:strCache>
            </c:strRef>
          </c:tx>
          <c:val>
            <c:numRef>
              <c:f>'Esimerkki kuntoseuranta'!$C$14:$C$18</c:f>
              <c:numCache>
                <c:formatCode>0</c:formatCode>
                <c:ptCount val="5"/>
                <c:pt idx="0">
                  <c:v>269.66666666666669</c:v>
                </c:pt>
                <c:pt idx="1">
                  <c:v>273.31081081081078</c:v>
                </c:pt>
                <c:pt idx="2">
                  <c:v>266.66666666666669</c:v>
                </c:pt>
                <c:pt idx="3">
                  <c:v>267.32456140350871</c:v>
                </c:pt>
                <c:pt idx="4">
                  <c:v>266.46124216795135</c:v>
                </c:pt>
              </c:numCache>
            </c:numRef>
          </c:val>
          <c:smooth val="0"/>
          <c:extLst>
            <c:ext xmlns:c16="http://schemas.microsoft.com/office/drawing/2014/chart" uri="{C3380CC4-5D6E-409C-BE32-E72D297353CC}">
              <c16:uniqueId val="{00000000-9CF8-486A-B67F-FE43F3476AA5}"/>
            </c:ext>
          </c:extLst>
        </c:ser>
        <c:ser>
          <c:idx val="1"/>
          <c:order val="1"/>
          <c:tx>
            <c:strRef>
              <c:f>'Esimerkki kuntoseuranta'!$E$13</c:f>
              <c:strCache>
                <c:ptCount val="1"/>
                <c:pt idx="0">
                  <c:v>2000m ennuste (W)</c:v>
                </c:pt>
              </c:strCache>
            </c:strRef>
          </c:tx>
          <c:val>
            <c:numRef>
              <c:f>'Esimerkki kuntoseuranta'!$E$14:$E$18</c:f>
              <c:numCache>
                <c:formatCode>0</c:formatCode>
                <c:ptCount val="5"/>
                <c:pt idx="0">
                  <c:v>348.62467330028926</c:v>
                </c:pt>
                <c:pt idx="1">
                  <c:v>377.11748713820595</c:v>
                </c:pt>
                <c:pt idx="2">
                  <c:v>364.01323821394044</c:v>
                </c:pt>
                <c:pt idx="3">
                  <c:v>375</c:v>
                </c:pt>
                <c:pt idx="4">
                  <c:v>377.61931253055508</c:v>
                </c:pt>
              </c:numCache>
            </c:numRef>
          </c:val>
          <c:smooth val="0"/>
          <c:extLst>
            <c:ext xmlns:c16="http://schemas.microsoft.com/office/drawing/2014/chart" uri="{C3380CC4-5D6E-409C-BE32-E72D297353CC}">
              <c16:uniqueId val="{00000001-9CF8-486A-B67F-FE43F3476AA5}"/>
            </c:ext>
          </c:extLst>
        </c:ser>
        <c:ser>
          <c:idx val="2"/>
          <c:order val="2"/>
          <c:tx>
            <c:strRef>
              <c:f>'Esimerkki kuntoseuranta'!$G$13</c:f>
              <c:strCache>
                <c:ptCount val="1"/>
                <c:pt idx="0">
                  <c:v>10km ennuste (W)</c:v>
                </c:pt>
              </c:strCache>
            </c:strRef>
          </c:tx>
          <c:val>
            <c:numRef>
              <c:f>'Esimerkki kuntoseuranta'!$G$14:$G$18</c:f>
              <c:numCache>
                <c:formatCode>0</c:formatCode>
                <c:ptCount val="5"/>
                <c:pt idx="0">
                  <c:v>284.8112837770272</c:v>
                </c:pt>
                <c:pt idx="1">
                  <c:v>306.64446972469449</c:v>
                </c:pt>
                <c:pt idx="2">
                  <c:v>310.98240561375923</c:v>
                </c:pt>
                <c:pt idx="3">
                  <c:v>311.67659438715333</c:v>
                </c:pt>
                <c:pt idx="4">
                  <c:v>285.70425691179821</c:v>
                </c:pt>
              </c:numCache>
            </c:numRef>
          </c:val>
          <c:smooth val="0"/>
          <c:extLst>
            <c:ext xmlns:c16="http://schemas.microsoft.com/office/drawing/2014/chart" uri="{C3380CC4-5D6E-409C-BE32-E72D297353CC}">
              <c16:uniqueId val="{00000002-9CF8-486A-B67F-FE43F3476AA5}"/>
            </c:ext>
          </c:extLst>
        </c:ser>
        <c:dLbls>
          <c:showLegendKey val="0"/>
          <c:showVal val="0"/>
          <c:showCatName val="0"/>
          <c:showSerName val="0"/>
          <c:showPercent val="0"/>
          <c:showBubbleSize val="0"/>
        </c:dLbls>
        <c:marker val="1"/>
        <c:smooth val="0"/>
        <c:axId val="2137103336"/>
        <c:axId val="2137106312"/>
      </c:lineChart>
      <c:catAx>
        <c:axId val="2137103336"/>
        <c:scaling>
          <c:orientation val="minMax"/>
        </c:scaling>
        <c:delete val="0"/>
        <c:axPos val="b"/>
        <c:majorTickMark val="out"/>
        <c:minorTickMark val="none"/>
        <c:tickLblPos val="nextTo"/>
        <c:crossAx val="2137106312"/>
        <c:crosses val="autoZero"/>
        <c:auto val="1"/>
        <c:lblAlgn val="ctr"/>
        <c:lblOffset val="100"/>
        <c:noMultiLvlLbl val="0"/>
      </c:catAx>
      <c:valAx>
        <c:axId val="2137106312"/>
        <c:scaling>
          <c:orientation val="minMax"/>
        </c:scaling>
        <c:delete val="0"/>
        <c:axPos val="l"/>
        <c:majorGridlines/>
        <c:numFmt formatCode="0" sourceLinked="1"/>
        <c:majorTickMark val="out"/>
        <c:minorTickMark val="none"/>
        <c:tickLblPos val="nextTo"/>
        <c:crossAx val="2137103336"/>
        <c:crosses val="autoZero"/>
        <c:crossBetween val="between"/>
      </c:valAx>
    </c:plotArea>
    <c:legend>
      <c:legendPos val="r"/>
      <c:overlay val="0"/>
    </c:legend>
    <c:plotVisOnly val="1"/>
    <c:dispBlanksAs val="gap"/>
    <c:showDLblsOverMax val="0"/>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669266642244697E-2"/>
          <c:y val="2.8993585410694699E-2"/>
          <c:w val="0.76798449069977104"/>
          <c:h val="0.90555537116267404"/>
        </c:manualLayout>
      </c:layout>
      <c:barChart>
        <c:barDir val="col"/>
        <c:grouping val="stacked"/>
        <c:varyColors val="0"/>
        <c:ser>
          <c:idx val="0"/>
          <c:order val="0"/>
          <c:tx>
            <c:strRef>
              <c:f>Kausisuunnitelma!$G$1</c:f>
              <c:strCache>
                <c:ptCount val="1"/>
                <c:pt idx="0">
                  <c:v>Kestävyys-harjoittelu (h)</c:v>
                </c:pt>
              </c:strCache>
            </c:strRef>
          </c:tx>
          <c:invertIfNegative val="0"/>
          <c:val>
            <c:numRef>
              <c:f>Kausisuunnitelma!$G$2:$G$29</c:f>
              <c:numCache>
                <c:formatCode>0.0</c:formatCode>
                <c:ptCount val="28"/>
                <c:pt idx="0">
                  <c:v>3</c:v>
                </c:pt>
                <c:pt idx="1">
                  <c:v>4</c:v>
                </c:pt>
                <c:pt idx="2">
                  <c:v>6</c:v>
                </c:pt>
                <c:pt idx="3">
                  <c:v>3</c:v>
                </c:pt>
                <c:pt idx="4">
                  <c:v>4</c:v>
                </c:pt>
                <c:pt idx="5">
                  <c:v>4.4000000000000004</c:v>
                </c:pt>
                <c:pt idx="6">
                  <c:v>4.8000000000000007</c:v>
                </c:pt>
                <c:pt idx="7">
                  <c:v>3</c:v>
                </c:pt>
                <c:pt idx="8">
                  <c:v>4.4000000000000004</c:v>
                </c:pt>
                <c:pt idx="9">
                  <c:v>4.8000000000000007</c:v>
                </c:pt>
                <c:pt idx="10">
                  <c:v>5.2000000000000011</c:v>
                </c:pt>
                <c:pt idx="11">
                  <c:v>3</c:v>
                </c:pt>
                <c:pt idx="12">
                  <c:v>4.8000000000000007</c:v>
                </c:pt>
                <c:pt idx="13">
                  <c:v>4.8000000000000007</c:v>
                </c:pt>
                <c:pt idx="14">
                  <c:v>3</c:v>
                </c:pt>
                <c:pt idx="15">
                  <c:v>4.8000000000000007</c:v>
                </c:pt>
                <c:pt idx="16">
                  <c:v>5.6000000000000005</c:v>
                </c:pt>
                <c:pt idx="17">
                  <c:v>3</c:v>
                </c:pt>
                <c:pt idx="18">
                  <c:v>5.6000000000000005</c:v>
                </c:pt>
                <c:pt idx="19">
                  <c:v>6.0000000000000009</c:v>
                </c:pt>
                <c:pt idx="20">
                  <c:v>3</c:v>
                </c:pt>
                <c:pt idx="21">
                  <c:v>5.6000000000000005</c:v>
                </c:pt>
                <c:pt idx="22">
                  <c:v>6.0000000000000009</c:v>
                </c:pt>
                <c:pt idx="23">
                  <c:v>3</c:v>
                </c:pt>
                <c:pt idx="24">
                  <c:v>5.6000000000000005</c:v>
                </c:pt>
                <c:pt idx="25">
                  <c:v>6.0000000000000009</c:v>
                </c:pt>
                <c:pt idx="26">
                  <c:v>6.0000000000000009</c:v>
                </c:pt>
                <c:pt idx="27">
                  <c:v>6.0000000000000009</c:v>
                </c:pt>
              </c:numCache>
            </c:numRef>
          </c:val>
          <c:extLst>
            <c:ext xmlns:c16="http://schemas.microsoft.com/office/drawing/2014/chart" uri="{C3380CC4-5D6E-409C-BE32-E72D297353CC}">
              <c16:uniqueId val="{00000000-6E85-469C-B922-60B9360BCF58}"/>
            </c:ext>
          </c:extLst>
        </c:ser>
        <c:ser>
          <c:idx val="1"/>
          <c:order val="1"/>
          <c:tx>
            <c:strRef>
              <c:f>Kausisuunnitelma!$H$1</c:f>
              <c:strCache>
                <c:ptCount val="1"/>
                <c:pt idx="0">
                  <c:v>Voima-harjoittelu (h)</c:v>
                </c:pt>
              </c:strCache>
            </c:strRef>
          </c:tx>
          <c:invertIfNegative val="0"/>
          <c:val>
            <c:numRef>
              <c:f>Kausisuunnitelma!$H$2:$H$29</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extLst>
            <c:ext xmlns:c16="http://schemas.microsoft.com/office/drawing/2014/chart" uri="{C3380CC4-5D6E-409C-BE32-E72D297353CC}">
              <c16:uniqueId val="{00000001-6E85-469C-B922-60B9360BCF58}"/>
            </c:ext>
          </c:extLst>
        </c:ser>
        <c:dLbls>
          <c:showLegendKey val="0"/>
          <c:showVal val="0"/>
          <c:showCatName val="0"/>
          <c:showSerName val="0"/>
          <c:showPercent val="0"/>
          <c:showBubbleSize val="0"/>
        </c:dLbls>
        <c:gapWidth val="150"/>
        <c:overlap val="100"/>
        <c:axId val="2133417496"/>
        <c:axId val="2133420472"/>
      </c:barChart>
      <c:catAx>
        <c:axId val="2133417496"/>
        <c:scaling>
          <c:orientation val="minMax"/>
        </c:scaling>
        <c:delete val="0"/>
        <c:axPos val="b"/>
        <c:majorTickMark val="out"/>
        <c:minorTickMark val="none"/>
        <c:tickLblPos val="nextTo"/>
        <c:crossAx val="2133420472"/>
        <c:crosses val="autoZero"/>
        <c:auto val="1"/>
        <c:lblAlgn val="ctr"/>
        <c:lblOffset val="100"/>
        <c:noMultiLvlLbl val="0"/>
      </c:catAx>
      <c:valAx>
        <c:axId val="2133420472"/>
        <c:scaling>
          <c:orientation val="minMax"/>
        </c:scaling>
        <c:delete val="0"/>
        <c:axPos val="l"/>
        <c:majorGridlines/>
        <c:numFmt formatCode="0.0" sourceLinked="1"/>
        <c:majorTickMark val="out"/>
        <c:minorTickMark val="none"/>
        <c:tickLblPos val="nextTo"/>
        <c:crossAx val="2133417496"/>
        <c:crosses val="autoZero"/>
        <c:crossBetween val="between"/>
      </c:valAx>
    </c:plotArea>
    <c:legend>
      <c:legendPos val="r"/>
      <c:layout>
        <c:manualLayout>
          <c:xMode val="edge"/>
          <c:yMode val="edge"/>
          <c:x val="0.29182312482764"/>
          <c:y val="4.0378177506421697E-2"/>
          <c:w val="0.24607546377664599"/>
          <c:h val="8.9580871468854406E-2"/>
        </c:manualLayout>
      </c:layout>
      <c:overlay val="0"/>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Drop" dropLines="62" dropStyle="combo" dx="16" fmlaLink="E4" fmlaRange="$H$4:$H$6" noThreeD="1" sel="1" val="0"/>
</file>

<file path=xl/ctrlProps/ctrlProp2.xml><?xml version="1.0" encoding="utf-8"?>
<formControlPr xmlns="http://schemas.microsoft.com/office/spreadsheetml/2009/9/main" objectType="Drop" dropLines="62" dropStyle="combo" dx="16" fmlaLink="F4" fmlaRange="$J$4:$J$6" noThreeD="1" sel="1" val="0"/>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3</xdr:row>
          <xdr:rowOff>0</xdr:rowOff>
        </xdr:from>
        <xdr:to>
          <xdr:col>4</xdr:col>
          <xdr:colOff>1323975</xdr:colOff>
          <xdr:row>4</xdr:row>
          <xdr:rowOff>0</xdr:rowOff>
        </xdr:to>
        <xdr:sp macro="" textlink="">
          <xdr:nvSpPr>
            <xdr:cNvPr id="9217" name="Drop Down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xdr:row>
          <xdr:rowOff>409575</xdr:rowOff>
        </xdr:from>
        <xdr:to>
          <xdr:col>6</xdr:col>
          <xdr:colOff>0</xdr:colOff>
          <xdr:row>4</xdr:row>
          <xdr:rowOff>0</xdr:rowOff>
        </xdr:to>
        <xdr:sp macro="" textlink="">
          <xdr:nvSpPr>
            <xdr:cNvPr id="9218" name="Drop Down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63500</xdr:colOff>
      <xdr:row>10</xdr:row>
      <xdr:rowOff>139700</xdr:rowOff>
    </xdr:from>
    <xdr:to>
      <xdr:col>20</xdr:col>
      <xdr:colOff>292100</xdr:colOff>
      <xdr:row>35</xdr:row>
      <xdr:rowOff>139700</xdr:rowOff>
    </xdr:to>
    <xdr:graphicFrame macro="">
      <xdr:nvGraphicFramePr>
        <xdr:cNvPr id="2" name="Kaavio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18</xdr:row>
      <xdr:rowOff>158750</xdr:rowOff>
    </xdr:from>
    <xdr:to>
      <xdr:col>10</xdr:col>
      <xdr:colOff>76200</xdr:colOff>
      <xdr:row>45</xdr:row>
      <xdr:rowOff>139700</xdr:rowOff>
    </xdr:to>
    <xdr:graphicFrame macro="">
      <xdr:nvGraphicFramePr>
        <xdr:cNvPr id="2" name="Kaavio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16</xdr:col>
      <xdr:colOff>349249</xdr:colOff>
      <xdr:row>9</xdr:row>
      <xdr:rowOff>19050</xdr:rowOff>
    </xdr:from>
    <xdr:to>
      <xdr:col>25</xdr:col>
      <xdr:colOff>349249</xdr:colOff>
      <xdr:row>38</xdr:row>
      <xdr:rowOff>169863</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unnit" displayName="Tunnit" ref="H3:H6" totalsRowShown="0">
  <autoFilter ref="H3:H6" xr:uid="{00000000-0009-0000-0100-000006000000}"/>
  <tableColumns count="1">
    <tableColumn id="4" xr3:uid="{00000000-0010-0000-0000-000004000000}" name="Ohjelma" dataDxfId="48"/>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9000000}" name="Table7" displayName="Table7" ref="N13:P18" totalsRowShown="0">
  <autoFilter ref="N13:P18" xr:uid="{00000000-0009-0000-0100-000007000000}"/>
  <tableColumns count="3">
    <tableColumn id="1" xr3:uid="{00000000-0010-0000-0900-000001000000}" name="Jaksokoodit"/>
    <tableColumn id="2" xr3:uid="{00000000-0010-0000-0900-000002000000}" name="Column1"/>
    <tableColumn id="3" xr3:uid="{00000000-0010-0000-0900-000003000000}" name="Column2" dataDxfId="9">
      <calculatedColumnFormula>COUNTIF(Table16[Jakso-koodi],Table7[[#This Row],[Jaksokoodit]]=Table16[[#This Row],[Jakso-koodi]])</calculatedColumnFormula>
    </tableColumn>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A000000}" name="Table9" displayName="Table9" ref="A2:L5" totalsRowShown="0">
  <autoFilter ref="A2:L5" xr:uid="{00000000-0009-0000-0100-000009000000}"/>
  <tableColumns count="12">
    <tableColumn id="1" xr3:uid="{00000000-0010-0000-0A00-000001000000}" name="Column1"/>
    <tableColumn id="2" xr3:uid="{00000000-0010-0000-0A00-000002000000}" name="Maanantai"/>
    <tableColumn id="3" xr3:uid="{00000000-0010-0000-0A00-000003000000}" name="Tiistai"/>
    <tableColumn id="4" xr3:uid="{00000000-0010-0000-0A00-000004000000}" name="Keskiviikko"/>
    <tableColumn id="5" xr3:uid="{00000000-0010-0000-0A00-000005000000}" name="Torstai"/>
    <tableColumn id="6" xr3:uid="{00000000-0010-0000-0A00-000006000000}" name="Perjantai"/>
    <tableColumn id="7" xr3:uid="{00000000-0010-0000-0A00-000007000000}" name="Lauantai"/>
    <tableColumn id="8" xr3:uid="{00000000-0010-0000-0A00-000008000000}" name="Sunnuntai"/>
    <tableColumn id="9" xr3:uid="{00000000-0010-0000-0A00-000009000000}" name="Minimitunnit"/>
    <tableColumn id="10" xr3:uid="{00000000-0010-0000-0A00-00000A000000}" name="Maksimitunnit"/>
    <tableColumn id="11" xr3:uid="{00000000-0010-0000-0A00-00000B000000}" name="Kevyt viikko" dataDxfId="8">
      <calculatedColumnFormula>Table9[[#This Row],[Maksimitunnit]]*L3</calculatedColumnFormula>
    </tableColumn>
    <tableColumn id="12" xr3:uid="{00000000-0010-0000-0A00-00000C000000}" name="Kerroin"/>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B000000}" name="Treenivalinta2" displayName="Treenivalinta2" ref="A7:J10" totalsRowShown="0">
  <autoFilter ref="A7:J10" xr:uid="{00000000-0009-0000-0100-000001000000}"/>
  <tableColumns count="10">
    <tableColumn id="1" xr3:uid="{00000000-0010-0000-0B00-000001000000}" name="Column1"/>
    <tableColumn id="2" xr3:uid="{00000000-0010-0000-0B00-000002000000}" name="Maanantai"/>
    <tableColumn id="3" xr3:uid="{00000000-0010-0000-0B00-000003000000}" name="Tiistai"/>
    <tableColumn id="4" xr3:uid="{00000000-0010-0000-0B00-000004000000}" name="Keskiviikko"/>
    <tableColumn id="5" xr3:uid="{00000000-0010-0000-0B00-000005000000}" name="Torstai"/>
    <tableColumn id="6" xr3:uid="{00000000-0010-0000-0B00-000006000000}" name="Perjantai"/>
    <tableColumn id="7" xr3:uid="{00000000-0010-0000-0B00-000007000000}" name="Lauantai"/>
    <tableColumn id="8" xr3:uid="{00000000-0010-0000-0B00-000008000000}" name="Sunnuntai"/>
    <tableColumn id="9" xr3:uid="{00000000-0010-0000-0B00-000009000000}" name="Summa" dataDxfId="7">
      <calculatedColumnFormula>SUM(Treenivalinta2[[#This Row],[Maanantai]:[Sunnuntai]])</calculatedColumnFormula>
    </tableColumn>
    <tableColumn id="10" xr3:uid="{00000000-0010-0000-0B00-00000A000000}" name="Summa (h)" dataDxfId="6">
      <calculatedColumnFormula>Treenivalinta2[[#This Row],[Summa]]/60</calculatedColumnFormula>
    </tableColumn>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reenivalinta214" displayName="Treenivalinta214" ref="A12:J15" totalsRowShown="0">
  <autoFilter ref="A12:J15" xr:uid="{00000000-0009-0000-0100-00000D000000}"/>
  <tableColumns count="10">
    <tableColumn id="1" xr3:uid="{00000000-0010-0000-0C00-000001000000}" name="Column1"/>
    <tableColumn id="2" xr3:uid="{00000000-0010-0000-0C00-000002000000}" name="Maanantai"/>
    <tableColumn id="3" xr3:uid="{00000000-0010-0000-0C00-000003000000}" name="Tiistai"/>
    <tableColumn id="4" xr3:uid="{00000000-0010-0000-0C00-000004000000}" name="Keskiviikko"/>
    <tableColumn id="5" xr3:uid="{00000000-0010-0000-0C00-000005000000}" name="Torstai"/>
    <tableColumn id="6" xr3:uid="{00000000-0010-0000-0C00-000006000000}" name="Perjantai"/>
    <tableColumn id="7" xr3:uid="{00000000-0010-0000-0C00-000007000000}" name="Lauantai"/>
    <tableColumn id="8" xr3:uid="{00000000-0010-0000-0C00-000008000000}" name="Sunnuntai"/>
    <tableColumn id="9" xr3:uid="{00000000-0010-0000-0C00-000009000000}" name="Summa" dataDxfId="5">
      <calculatedColumnFormula>SUM(Treenivalinta214[[#This Row],[Maanantai]:[Sunnuntai]])</calculatedColumnFormula>
    </tableColumn>
    <tableColumn id="10" xr3:uid="{00000000-0010-0000-0C00-00000A000000}" name="Summa (h)" dataDxfId="4">
      <calculatedColumnFormula>Treenivalinta214[[#This Row],[Summa]]/60</calculatedColumnFormula>
    </tableColumn>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reenivalinta21415" displayName="Treenivalinta21415" ref="A17:J20" totalsRowShown="0">
  <autoFilter ref="A17:J20" xr:uid="{00000000-0009-0000-0100-00000E000000}"/>
  <tableColumns count="10">
    <tableColumn id="1" xr3:uid="{00000000-0010-0000-0D00-000001000000}" name="Column1"/>
    <tableColumn id="2" xr3:uid="{00000000-0010-0000-0D00-000002000000}" name="Maanantai">
      <calculatedColumnFormula>AVERAGE(B13,B8)</calculatedColumnFormula>
    </tableColumn>
    <tableColumn id="3" xr3:uid="{00000000-0010-0000-0D00-000003000000}" name="Tiistai">
      <calculatedColumnFormula>AVERAGE(C13,C8)</calculatedColumnFormula>
    </tableColumn>
    <tableColumn id="4" xr3:uid="{00000000-0010-0000-0D00-000004000000}" name="Keskiviikko">
      <calculatedColumnFormula>AVERAGE(D13,D8)</calculatedColumnFormula>
    </tableColumn>
    <tableColumn id="5" xr3:uid="{00000000-0010-0000-0D00-000005000000}" name="Torstai">
      <calculatedColumnFormula>AVERAGE(E13,E8)</calculatedColumnFormula>
    </tableColumn>
    <tableColumn id="6" xr3:uid="{00000000-0010-0000-0D00-000006000000}" name="Perjantai">
      <calculatedColumnFormula>AVERAGE(F13,F8)</calculatedColumnFormula>
    </tableColumn>
    <tableColumn id="7" xr3:uid="{00000000-0010-0000-0D00-000007000000}" name="Lauantai">
      <calculatedColumnFormula>AVERAGE(G13,G8)</calculatedColumnFormula>
    </tableColumn>
    <tableColumn id="8" xr3:uid="{00000000-0010-0000-0D00-000008000000}" name="Sunnuntai">
      <calculatedColumnFormula>AVERAGE(H13,H8)</calculatedColumnFormula>
    </tableColumn>
    <tableColumn id="9" xr3:uid="{00000000-0010-0000-0D00-000009000000}" name="Summa" dataDxfId="3">
      <calculatedColumnFormula>SUM(Treenivalinta21415[[#This Row],[Maanantai]:[Sunnuntai]])</calculatedColumnFormula>
    </tableColumn>
    <tableColumn id="10" xr3:uid="{00000000-0010-0000-0D00-00000A000000}" name="Summa (h)" dataDxfId="2">
      <calculatedColumnFormula>Treenivalinta21415[[#This Row],[Summa]]/60</calculatedColumnFormula>
    </tableColumn>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reenivalinta2141516" displayName="Treenivalinta2141516" ref="A22:H25" totalsRowShown="0">
  <autoFilter ref="A22:H25" xr:uid="{00000000-0009-0000-0100-00000F000000}"/>
  <tableColumns count="8">
    <tableColumn id="1" xr3:uid="{00000000-0010-0000-0E00-000001000000}" name="Column1"/>
    <tableColumn id="2" xr3:uid="{00000000-0010-0000-0E00-000002000000}" name="Maanantai">
      <calculatedColumnFormula>AVERAGE(B18,B13)</calculatedColumnFormula>
    </tableColumn>
    <tableColumn id="3" xr3:uid="{00000000-0010-0000-0E00-000003000000}" name="Tiistai">
      <calculatedColumnFormula>AVERAGE(C18,C13)</calculatedColumnFormula>
    </tableColumn>
    <tableColumn id="4" xr3:uid="{00000000-0010-0000-0E00-000004000000}" name="Keskiviikko">
      <calculatedColumnFormula>AVERAGE(D18,D13)</calculatedColumnFormula>
    </tableColumn>
    <tableColumn id="5" xr3:uid="{00000000-0010-0000-0E00-000005000000}" name="Torstai">
      <calculatedColumnFormula>AVERAGE(E18,E13)</calculatedColumnFormula>
    </tableColumn>
    <tableColumn id="6" xr3:uid="{00000000-0010-0000-0E00-000006000000}" name="Perjantai">
      <calculatedColumnFormula>AVERAGE(F18,F13)</calculatedColumnFormula>
    </tableColumn>
    <tableColumn id="7" xr3:uid="{00000000-0010-0000-0E00-000007000000}" name="Lauantai">
      <calculatedColumnFormula>AVERAGE(G18,G13)</calculatedColumnFormula>
    </tableColumn>
    <tableColumn id="8" xr3:uid="{00000000-0010-0000-0E00-000008000000}" name="Sunnuntai">
      <calculatedColumnFormula>AVERAGE(H18,H13)</calculatedColumnFormula>
    </tableColumn>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17" displayName="Table17" ref="B33:E38" totalsRowShown="0">
  <autoFilter ref="B33:E38" xr:uid="{00000000-0009-0000-0100-000010000000}"/>
  <tableColumns count="4">
    <tableColumn id="1" xr3:uid="{00000000-0010-0000-0F00-000001000000}" name="Koodi"/>
    <tableColumn id="2" xr3:uid="{00000000-0010-0000-0F00-000002000000}" name="Intensiteetti"/>
    <tableColumn id="3" xr3:uid="{00000000-0010-0000-0F00-000003000000}" name="Alateho" dataDxfId="1">
      <calculatedColumnFormula>Harjoitusalueet!D5</calculatedColumnFormula>
    </tableColumn>
    <tableColumn id="4" xr3:uid="{00000000-0010-0000-0F00-000004000000}" name="Yläteho" dataDxfId="0">
      <calculatedColumnFormula>Harjoitusalueet!D6</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1000000}" name="Table10" displayName="Table10" ref="J3:J6" totalsRowShown="0">
  <autoFilter ref="J3:J6" xr:uid="{00000000-0009-0000-0100-00000A000000}"/>
  <tableColumns count="1">
    <tableColumn id="1" xr3:uid="{00000000-0010-0000-0100-000001000000}" name="Voimaharjoittelu"/>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2000000}" name="Table12" displayName="Table12" ref="C8:F18" totalsRowShown="0">
  <autoFilter ref="C8:F18" xr:uid="{00000000-0009-0000-0100-00000C000000}"/>
  <tableColumns count="4">
    <tableColumn id="1" xr3:uid="{00000000-0010-0000-0200-000001000000}" name="Viikonpäivä"/>
    <tableColumn id="2" xr3:uid="{00000000-0010-0000-0200-000002000000}" name="Kestävyysharjoitus"/>
    <tableColumn id="3" xr3:uid="{00000000-0010-0000-0200-000003000000}" name="Voimaharjoitus"/>
    <tableColumn id="4" xr3:uid="{00000000-0010-0000-0200-000004000000}" name="Yhteensä (h)"/>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3000000}" name="Table11" displayName="Table11" ref="A13:J18" totalsRowShown="0" headerRowDxfId="47">
  <autoFilter ref="A13:J18" xr:uid="{00000000-0009-0000-0100-00000B000000}"/>
  <tableColumns count="10">
    <tableColumn id="1" xr3:uid="{00000000-0010-0000-0300-000001000000}" name="Viikon 1. päivä" dataDxfId="46"/>
    <tableColumn id="2" xr3:uid="{00000000-0010-0000-0300-000002000000}" name="Viikko-numero">
      <calculatedColumnFormula>WEEKNUM(A14,21)</calculatedColumnFormula>
    </tableColumn>
    <tableColumn id="3" xr3:uid="{00000000-0010-0000-0300-000003000000}" name="Kynnysteho (W)" dataDxfId="45"/>
    <tableColumn id="8" xr3:uid="{00000000-0010-0000-0300-000008000000}" name="Anaerobinen kapasiteetti" dataDxfId="44">
      <calculatedColumnFormula>SLOPE(D25:D28,B25:B28)</calculatedColumnFormula>
    </tableColumn>
    <tableColumn id="5" xr3:uid="{00000000-0010-0000-0300-000005000000}" name="2000m ennuste (W)" dataDxfId="43">
      <calculatedColumnFormula>2.8/((1/F23)^3)</calculatedColumnFormula>
    </tableColumn>
    <tableColumn id="6" xr3:uid="{00000000-0010-0000-0300-000006000000}" name="2000m ennuste (aika)" dataDxfId="42">
      <calculatedColumnFormula>TIME(0,0,1/(F23/E23))</calculatedColumnFormula>
    </tableColumn>
    <tableColumn id="7" xr3:uid="{00000000-0010-0000-0300-000007000000}" name="10km ennuste (W)" dataDxfId="41">
      <calculatedColumnFormula>2.8/((1/F24)^3)</calculatedColumnFormula>
    </tableColumn>
    <tableColumn id="9" xr3:uid="{00000000-0010-0000-0300-000009000000}" name="10km ennuste (aika)" dataDxfId="40"/>
    <tableColumn id="10" xr3:uid="{00000000-0010-0000-0300-00000A000000}" name="Slope (m)" dataDxfId="39">
      <calculatedColumnFormula>SLOPE(F21:F22,G21:G22)</calculatedColumnFormula>
    </tableColumn>
    <tableColumn id="11" xr3:uid="{00000000-0010-0000-0300-00000B000000}" name="Intercept (m/s)" dataDxfId="38">
      <calculatedColumnFormula>INTERCEPT(F21:F22,G21:G22)</calculatedColumnFormula>
    </tableColumn>
  </tableColumns>
  <tableStyleInfo name="TableStyleLight1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115" displayName="Table115" ref="A13:J18" totalsRowShown="0" headerRowDxfId="37">
  <autoFilter ref="A13:J18" xr:uid="{00000000-0009-0000-0100-000004000000}"/>
  <tableColumns count="10">
    <tableColumn id="1" xr3:uid="{00000000-0010-0000-0400-000001000000}" name="Viikon 1. päivä" dataDxfId="36"/>
    <tableColumn id="2" xr3:uid="{00000000-0010-0000-0400-000002000000}" name="Viikko-numero">
      <calculatedColumnFormula>WEEKNUM(A14,21)</calculatedColumnFormula>
    </tableColumn>
    <tableColumn id="3" xr3:uid="{00000000-0010-0000-0400-000003000000}" name="Kynnysteho (W)" dataDxfId="35"/>
    <tableColumn id="8" xr3:uid="{00000000-0010-0000-0400-000008000000}" name="Anaerobinen kapasiteetti" dataDxfId="34">
      <calculatedColumnFormula>SLOPE(D25:D28,B25:B28)</calculatedColumnFormula>
    </tableColumn>
    <tableColumn id="5" xr3:uid="{00000000-0010-0000-0400-000005000000}" name="2000m ennuste (W)" dataDxfId="33">
      <calculatedColumnFormula>2.8/((1/F23)^3)</calculatedColumnFormula>
    </tableColumn>
    <tableColumn id="6" xr3:uid="{00000000-0010-0000-0400-000006000000}" name="2000m ennuste (aika)" dataDxfId="32">
      <calculatedColumnFormula>TIME(0,0,1/(F23/E23))</calculatedColumnFormula>
    </tableColumn>
    <tableColumn id="7" xr3:uid="{00000000-0010-0000-0400-000007000000}" name="10km ennuste (W)" dataDxfId="31">
      <calculatedColumnFormula>2.8/((1/F24)^3)</calculatedColumnFormula>
    </tableColumn>
    <tableColumn id="9" xr3:uid="{00000000-0010-0000-0400-000009000000}" name="10km ennuste (aika)" dataDxfId="30"/>
    <tableColumn id="10" xr3:uid="{00000000-0010-0000-0400-00000A000000}" name="Slope (m)" dataDxfId="29">
      <calculatedColumnFormula>SLOPE(F21:F22,G21:G22)</calculatedColumnFormula>
    </tableColumn>
    <tableColumn id="11" xr3:uid="{00000000-0010-0000-0400-00000B000000}" name="Intercept (m/s)" dataDxfId="28">
      <calculatedColumnFormula>INTERCEPT(F21:F22,G21:G22)</calculatedColumnFormula>
    </tableColumn>
  </tableColumns>
  <tableStyleInfo name="TableStyleLight10"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Table2" displayName="Table2" ref="I8:M14" totalsRowCount="1">
  <autoFilter ref="I8:M13" xr:uid="{00000000-0009-0000-0100-000002000000}"/>
  <tableColumns count="5">
    <tableColumn id="1" xr3:uid="{00000000-0010-0000-0500-000001000000}" name="Matka (m)" totalsRowLabel="42195" totalsRowDxfId="27"/>
    <tableColumn id="2" xr3:uid="{00000000-0010-0000-0500-000002000000}" name="Vauhti (m/s)">
      <calculatedColumnFormula>$I$7*(1/I9)+$J$7</calculatedColumnFormula>
    </tableColumn>
    <tableColumn id="3" xr3:uid="{00000000-0010-0000-0500-000003000000}" name="Ennustettu loppuaika" totalsRowFunction="custom" dataDxfId="26" totalsRowDxfId="25">
      <calculatedColumnFormula>TIME(0,0,1/(J9/I9))</calculatedColumnFormula>
      <totalsRowFormula>Table2[[#Totals],[Keskivauhti]]*(Table2[[#Totals],[Matka (m)]]/500)</totalsRowFormula>
    </tableColumn>
    <tableColumn id="4" xr3:uid="{00000000-0010-0000-0500-000004000000}" name="Keskivauhti" totalsRowFunction="custom" dataDxfId="24" totalsRowDxfId="23">
      <calculatedColumnFormula>K9/(I9/$I$10)</calculatedColumnFormula>
      <totalsRowFormula>TIME(0,0,((2.8/Table2[[#Totals],[Keskiteho]])^(1/3))*500)</totalsRowFormula>
    </tableColumn>
    <tableColumn id="5" xr3:uid="{00000000-0010-0000-0500-000005000000}" name="Keskiteho" totalsRowFunction="custom" dataDxfId="22" totalsRowDxfId="21">
      <totalsRowFormula>0.85*C5</totalsRowFormula>
    </tableColumn>
  </tableColumns>
  <tableStyleInfo name="TableStyleLight1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6000000}" name="Table20" displayName="Table20" ref="B21:E82" totalsRowShown="0">
  <autoFilter ref="B21:E82" xr:uid="{00000000-0009-0000-0100-000014000000}"/>
  <tableColumns count="4">
    <tableColumn id="1" xr3:uid="{00000000-0010-0000-0600-000001000000}" name="Kesto (min)"/>
    <tableColumn id="2" xr3:uid="{00000000-0010-0000-0600-000002000000}" name="1/s">
      <calculatedColumnFormula>1/(B22*60)</calculatedColumnFormula>
    </tableColumn>
    <tableColumn id="3" xr3:uid="{00000000-0010-0000-0600-000003000000}" name="Maksimikeskiteho" dataDxfId="20">
      <calculatedColumnFormula>($B$19*1000)*C22+$C$5</calculatedColumnFormula>
    </tableColumn>
    <tableColumn id="4" xr3:uid="{00000000-0010-0000-0600-000004000000}" name="% anaerobisesta kynnyksestä" dataDxfId="19">
      <calculatedColumnFormula>Table20[[#This Row],[Maksimikeskiteho]]/$C$5</calculatedColumnFormula>
    </tableColumn>
  </tableColumns>
  <tableStyleInfo name="TableStyleLight10"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7000000}" name="Table16" displayName="Table16" ref="A1:K30" totalsRowCount="1">
  <autoFilter ref="A1:K29" xr:uid="{00000000-0009-0000-0100-000005000000}"/>
  <tableColumns count="11">
    <tableColumn id="1" xr3:uid="{00000000-0010-0000-0700-000001000000}" name="Viikon 1. päivä" dataDxfId="18" totalsRowDxfId="17">
      <calculatedColumnFormula>A1+7</calculatedColumnFormula>
    </tableColumn>
    <tableColumn id="2" xr3:uid="{00000000-0010-0000-0700-000002000000}" name="Viikko-numero" totalsRowFunction="custom" dataDxfId="16" totalsRowDxfId="15">
      <calculatedColumnFormula>WEEKNUM(A2,21)</calculatedColumnFormula>
      <totalsRowFormula>COUNT(B2:B29)</totalsRowFormula>
    </tableColumn>
    <tableColumn id="3" xr3:uid="{00000000-0010-0000-0700-000003000000}" name="Painopiste"/>
    <tableColumn id="7" xr3:uid="{00000000-0010-0000-0700-000007000000}" name="Jakso-koodi"/>
    <tableColumn id="4" xr3:uid="{00000000-0010-0000-0700-000004000000}" name="Rytmitys">
      <calculatedColumnFormula>VLOOKUP(Table16[[#This Row],[Viikko-koodi]],Viikkokoodit,2,TRUE)</calculatedColumnFormula>
    </tableColumn>
    <tableColumn id="8" xr3:uid="{00000000-0010-0000-0700-000008000000}" name="Viikko-koodi" totalsRowFunction="custom" dataDxfId="14">
      <totalsRowFormula>COUNTIFS(Table16[Viikko-koodi],"&gt;0",Table16[Viikko-koodi],"&lt;4")</totalsRowFormula>
    </tableColumn>
    <tableColumn id="6" xr3:uid="{00000000-0010-0000-0700-000006000000}" name="Kestävyys-harjoittelu (h)" totalsRowFunction="custom" dataDxfId="13">
      <calculatedColumnFormula>IF(Table16[[#This Row],[Viikko-koodi]]&gt;0,(Alkukysely!$F$16+(Table16[[#This Row],[Viikko-koodi]]*(Kausisuunnitelma!$N$30-1))),Alkukysely!$F$18)</calculatedColumnFormula>
      <totalsRowFormula>SUM(G3:G29)</totalsRowFormula>
    </tableColumn>
    <tableColumn id="10" xr3:uid="{00000000-0010-0000-0700-00000A000000}" name="Voima-harjoittelu (h)" dataDxfId="12">
      <calculatedColumnFormula>IF(Table16[[#This Row],[Viikko-koodi]]&gt;0,Alkukysely!$E$17,Alkukysely!$E$18)</calculatedColumnFormula>
    </tableColumn>
    <tableColumn id="12" xr3:uid="{00000000-0010-0000-0700-00000C000000}" name="Harjoittelu yht. (h)" dataDxfId="11">
      <calculatedColumnFormula>Table16[[#This Row],[Kestävyys-harjoittelu (h)]]+Table16[[#This Row],[Voima-harjoittelu (h)]]</calculatedColumnFormula>
    </tableColumn>
    <tableColumn id="5" xr3:uid="{00000000-0010-0000-0700-000005000000}" name="Testit/kisat"/>
    <tableColumn id="9" xr3:uid="{00000000-0010-0000-0700-000009000000}" name="Viikon ohjeet"/>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8000000}" name="Table3" displayName="Table3" ref="N6:O10" totalsRowShown="0" headerRowDxfId="10">
  <autoFilter ref="N6:O10" xr:uid="{00000000-0009-0000-0100-000003000000}"/>
  <sortState xmlns:xlrd2="http://schemas.microsoft.com/office/spreadsheetml/2017/richdata2" ref="N9:O13">
    <sortCondition ref="N8:N13"/>
  </sortState>
  <tableColumns count="2">
    <tableColumn id="1" xr3:uid="{00000000-0010-0000-0800-000001000000}" name="Column1"/>
    <tableColumn id="2" xr3:uid="{00000000-0010-0000-0800-000002000000}" name="Viikkokoodi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7" Type="http://schemas.openxmlformats.org/officeDocument/2006/relationships/table" Target="../tables/table3.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drawing" Target="../drawings/drawing4.xml"/><Relationship Id="rId4" Type="http://schemas.openxmlformats.org/officeDocument/2006/relationships/table" Target="../tables/table10.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table" Target="../tables/table11.xml"/><Relationship Id="rId6" Type="http://schemas.openxmlformats.org/officeDocument/2006/relationships/table" Target="../tables/table16.xml"/><Relationship Id="rId5" Type="http://schemas.openxmlformats.org/officeDocument/2006/relationships/table" Target="../tables/table15.xml"/><Relationship Id="rId4"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4"/>
  <sheetViews>
    <sheetView tabSelected="1" workbookViewId="0">
      <selection activeCell="E21" sqref="E21"/>
    </sheetView>
  </sheetViews>
  <sheetFormatPr defaultColWidth="8.875" defaultRowHeight="15.75" x14ac:dyDescent="0.25"/>
  <cols>
    <col min="3" max="3" width="17.375" customWidth="1"/>
    <col min="4" max="4" width="27.875" customWidth="1"/>
    <col min="5" max="5" width="21.5" customWidth="1"/>
    <col min="6" max="6" width="23.125" customWidth="1"/>
    <col min="7" max="7" width="18.5" customWidth="1"/>
    <col min="8" max="8" width="21.625" customWidth="1"/>
    <col min="9" max="9" width="19" customWidth="1"/>
    <col min="10" max="10" width="20" customWidth="1"/>
    <col min="11" max="12" width="20.375" customWidth="1"/>
    <col min="13" max="13" width="9.875" customWidth="1"/>
  </cols>
  <sheetData>
    <row r="1" spans="1:11" x14ac:dyDescent="0.25">
      <c r="A1" s="168" t="s">
        <v>242</v>
      </c>
      <c r="B1" s="168"/>
      <c r="C1" s="168"/>
      <c r="D1" s="168"/>
    </row>
    <row r="2" spans="1:11" x14ac:dyDescent="0.25">
      <c r="A2" s="168"/>
      <c r="B2" s="168"/>
      <c r="C2" s="168"/>
      <c r="D2" s="168"/>
    </row>
    <row r="3" spans="1:11" ht="33" customHeight="1" x14ac:dyDescent="0.25">
      <c r="A3" s="168"/>
      <c r="B3" s="168"/>
      <c r="C3" s="168"/>
      <c r="D3" s="168"/>
      <c r="E3" s="42" t="s">
        <v>55</v>
      </c>
      <c r="F3" s="43" t="s">
        <v>73</v>
      </c>
      <c r="H3" s="44" t="s">
        <v>56</v>
      </c>
      <c r="J3" t="s">
        <v>72</v>
      </c>
    </row>
    <row r="4" spans="1:11" x14ac:dyDescent="0.25">
      <c r="A4" s="168"/>
      <c r="B4" s="168"/>
      <c r="C4" s="168"/>
      <c r="D4" s="168"/>
      <c r="E4" s="41">
        <v>1</v>
      </c>
      <c r="F4" s="41">
        <v>1</v>
      </c>
      <c r="H4" s="44" t="s">
        <v>52</v>
      </c>
      <c r="J4" t="s">
        <v>74</v>
      </c>
    </row>
    <row r="5" spans="1:11" x14ac:dyDescent="0.25">
      <c r="A5" s="168"/>
      <c r="B5" s="168"/>
      <c r="C5" s="168"/>
      <c r="D5" s="168"/>
      <c r="E5" s="2" t="s">
        <v>81</v>
      </c>
      <c r="F5">
        <f>F4-1</f>
        <v>0</v>
      </c>
      <c r="G5" s="44"/>
      <c r="H5" s="44" t="s">
        <v>53</v>
      </c>
      <c r="J5" t="s">
        <v>75</v>
      </c>
      <c r="K5" t="s">
        <v>78</v>
      </c>
    </row>
    <row r="6" spans="1:11" x14ac:dyDescent="0.25">
      <c r="A6" s="168"/>
      <c r="B6" s="168"/>
      <c r="C6" s="168"/>
      <c r="D6" s="168"/>
      <c r="G6" s="44"/>
      <c r="H6" s="44" t="s">
        <v>54</v>
      </c>
      <c r="J6" t="s">
        <v>76</v>
      </c>
      <c r="K6" t="s">
        <v>77</v>
      </c>
    </row>
    <row r="7" spans="1:11" ht="77.099999999999994" customHeight="1" x14ac:dyDescent="0.25">
      <c r="A7" s="168"/>
      <c r="B7" s="168"/>
      <c r="C7" s="168"/>
      <c r="D7" s="168"/>
      <c r="G7" s="44"/>
    </row>
    <row r="8" spans="1:11" ht="15" customHeight="1" x14ac:dyDescent="0.25">
      <c r="C8" t="s">
        <v>87</v>
      </c>
      <c r="D8" t="s">
        <v>70</v>
      </c>
      <c r="E8" t="s">
        <v>71</v>
      </c>
      <c r="F8" t="s">
        <v>86</v>
      </c>
      <c r="G8" s="169" t="s">
        <v>247</v>
      </c>
      <c r="H8" s="169"/>
      <c r="I8" s="169"/>
      <c r="J8" s="169"/>
      <c r="K8" s="169"/>
    </row>
    <row r="9" spans="1:11" ht="15" customHeight="1" x14ac:dyDescent="0.25">
      <c r="C9" t="s">
        <v>44</v>
      </c>
      <c r="D9" t="str">
        <f>VLOOKUP($E$4,Treenivalinta,2,1)</f>
        <v>LEPO</v>
      </c>
      <c r="E9" t="str">
        <f>IF($F$4&gt;1,$K$5,"-")</f>
        <v>-</v>
      </c>
      <c r="G9" s="169"/>
      <c r="H9" s="169"/>
      <c r="I9" s="169"/>
      <c r="J9" s="169"/>
      <c r="K9" s="169"/>
    </row>
    <row r="10" spans="1:11" ht="15" customHeight="1" x14ac:dyDescent="0.25">
      <c r="C10" t="s">
        <v>45</v>
      </c>
      <c r="D10" t="str">
        <f>VLOOKUP($E$4,Treenivalinta,3,1)</f>
        <v>Peruskestävyys 40-60min</v>
      </c>
      <c r="G10" s="169"/>
      <c r="H10" s="169"/>
      <c r="I10" s="169"/>
      <c r="J10" s="169"/>
      <c r="K10" s="169"/>
    </row>
    <row r="11" spans="1:11" ht="15" customHeight="1" x14ac:dyDescent="0.25">
      <c r="C11" t="s">
        <v>46</v>
      </c>
      <c r="D11" t="str">
        <f>VLOOKUP($E$4,Treenivalinta,4,1)</f>
        <v>Peruskestävyys 50-75min.</v>
      </c>
      <c r="G11" s="169"/>
      <c r="H11" s="169"/>
      <c r="I11" s="169"/>
      <c r="J11" s="169"/>
      <c r="K11" s="169"/>
    </row>
    <row r="12" spans="1:11" ht="15" customHeight="1" x14ac:dyDescent="0.25">
      <c r="C12" t="s">
        <v>47</v>
      </c>
      <c r="D12" t="str">
        <f>VLOOKUP($E$4,Treenivalinta,5,1)</f>
        <v>LEPO</v>
      </c>
      <c r="E12" t="str">
        <f>IF($F$4=3,$K$6,"-")</f>
        <v>-</v>
      </c>
      <c r="G12" s="169"/>
      <c r="H12" s="169"/>
      <c r="I12" s="169"/>
      <c r="J12" s="169"/>
      <c r="K12" s="169"/>
    </row>
    <row r="13" spans="1:11" ht="15" customHeight="1" x14ac:dyDescent="0.25">
      <c r="C13" t="s">
        <v>48</v>
      </c>
      <c r="D13" t="str">
        <f>VLOOKUP($E$4,Treenivalinta,6,1)</f>
        <v>LEPO</v>
      </c>
      <c r="G13" s="169"/>
      <c r="H13" s="169"/>
      <c r="I13" s="169"/>
      <c r="J13" s="169"/>
      <c r="K13" s="169"/>
    </row>
    <row r="14" spans="1:11" ht="15" customHeight="1" x14ac:dyDescent="0.25">
      <c r="C14" t="s">
        <v>49</v>
      </c>
      <c r="D14" t="str">
        <f>VLOOKUP($E$4,Treenivalinta,7,1)</f>
        <v>Kova 1 60-75min</v>
      </c>
      <c r="G14" s="169"/>
      <c r="H14" s="169"/>
      <c r="I14" s="169"/>
      <c r="J14" s="169"/>
      <c r="K14" s="169"/>
    </row>
    <row r="15" spans="1:11" ht="15.95" customHeight="1" thickBot="1" x14ac:dyDescent="0.3">
      <c r="C15" s="49" t="s">
        <v>50</v>
      </c>
      <c r="D15" s="49" t="str">
        <f>VLOOKUP($E$4,Treenivalinta,8,1)</f>
        <v>Pitkä PK 90-150min</v>
      </c>
      <c r="E15" s="49"/>
      <c r="F15" s="49"/>
      <c r="G15" s="169"/>
      <c r="H15" s="169"/>
      <c r="I15" s="169"/>
      <c r="J15" s="169"/>
      <c r="K15" s="169"/>
    </row>
    <row r="16" spans="1:11" ht="15" customHeight="1" x14ac:dyDescent="0.25">
      <c r="C16" t="s">
        <v>83</v>
      </c>
      <c r="D16" s="46">
        <f>VLOOKUP($E$4,Treenivalinta,9,1)</f>
        <v>4</v>
      </c>
      <c r="E16" s="46">
        <f>F5</f>
        <v>0</v>
      </c>
      <c r="F16" s="46">
        <f>SUM(D16:E16)</f>
        <v>4</v>
      </c>
      <c r="G16" s="169"/>
      <c r="H16" s="169"/>
      <c r="I16" s="169"/>
      <c r="J16" s="169"/>
      <c r="K16" s="169"/>
    </row>
    <row r="17" spans="3:11" ht="15" customHeight="1" x14ac:dyDescent="0.25">
      <c r="C17" t="s">
        <v>82</v>
      </c>
      <c r="D17" s="46">
        <f>VLOOKUP($E$4,Treenivalinta,10,1)</f>
        <v>6</v>
      </c>
      <c r="E17" s="46">
        <f>F5</f>
        <v>0</v>
      </c>
      <c r="F17" s="46">
        <f>SUM(D17:E17)</f>
        <v>6</v>
      </c>
      <c r="G17" s="169"/>
      <c r="H17" s="169"/>
      <c r="I17" s="169"/>
      <c r="J17" s="169"/>
      <c r="K17" s="169"/>
    </row>
    <row r="18" spans="3:11" ht="15" customHeight="1" x14ac:dyDescent="0.25">
      <c r="C18" t="s">
        <v>84</v>
      </c>
      <c r="D18" s="46">
        <f>VLOOKUP($E$4,Treenivalinta,11,1)</f>
        <v>3</v>
      </c>
      <c r="E18" s="46">
        <f>IF(F5&gt;0,1,0)</f>
        <v>0</v>
      </c>
      <c r="F18" s="46">
        <f>SUM(D18:E18)</f>
        <v>3</v>
      </c>
      <c r="G18" s="169"/>
      <c r="H18" s="169"/>
      <c r="I18" s="169"/>
      <c r="J18" s="169"/>
      <c r="K18" s="169"/>
    </row>
    <row r="19" spans="3:11" x14ac:dyDescent="0.25">
      <c r="G19" s="169"/>
      <c r="H19" s="169"/>
      <c r="I19" s="169"/>
      <c r="J19" s="169"/>
      <c r="K19" s="169"/>
    </row>
    <row r="20" spans="3:11" x14ac:dyDescent="0.25">
      <c r="G20" s="169"/>
      <c r="H20" s="169"/>
      <c r="I20" s="169"/>
      <c r="J20" s="169"/>
      <c r="K20" s="169"/>
    </row>
    <row r="21" spans="3:11" x14ac:dyDescent="0.25">
      <c r="G21" s="169"/>
      <c r="H21" s="169"/>
      <c r="I21" s="169"/>
      <c r="J21" s="169"/>
      <c r="K21" s="169"/>
    </row>
    <row r="22" spans="3:11" x14ac:dyDescent="0.25">
      <c r="G22" s="169"/>
      <c r="H22" s="169"/>
      <c r="I22" s="169"/>
      <c r="J22" s="169"/>
      <c r="K22" s="169"/>
    </row>
    <row r="23" spans="3:11" x14ac:dyDescent="0.25">
      <c r="G23" s="169"/>
      <c r="H23" s="169"/>
      <c r="I23" s="169"/>
      <c r="J23" s="169"/>
      <c r="K23" s="169"/>
    </row>
    <row r="24" spans="3:11" x14ac:dyDescent="0.25">
      <c r="G24" s="169"/>
      <c r="H24" s="169"/>
      <c r="I24" s="169"/>
      <c r="J24" s="169"/>
      <c r="K24" s="169"/>
    </row>
  </sheetData>
  <mergeCells count="2">
    <mergeCell ref="A1:D7"/>
    <mergeCell ref="G8:K24"/>
  </mergeCells>
  <pageMargins left="0.7" right="0.7" top="0.75" bottom="0.75" header="0.3" footer="0.3"/>
  <pageSetup paperSize="9" orientation="portrait" horizontalDpi="300" verticalDpi="300"/>
  <drawing r:id="rId1"/>
  <legacyDrawing r:id="rId2"/>
  <mc:AlternateContent xmlns:mc="http://schemas.openxmlformats.org/markup-compatibility/2006">
    <mc:Choice Requires="x14">
      <controls>
        <mc:AlternateContent xmlns:mc="http://schemas.openxmlformats.org/markup-compatibility/2006">
          <mc:Choice Requires="x14">
            <control shapeId="9217" r:id="rId3" name="Drop Down 1">
              <controlPr defaultSize="0" autoLine="0" autoPict="0">
                <anchor moveWithCells="1">
                  <from>
                    <xdr:col>4</xdr:col>
                    <xdr:colOff>0</xdr:colOff>
                    <xdr:row>3</xdr:row>
                    <xdr:rowOff>0</xdr:rowOff>
                  </from>
                  <to>
                    <xdr:col>4</xdr:col>
                    <xdr:colOff>1323975</xdr:colOff>
                    <xdr:row>4</xdr:row>
                    <xdr:rowOff>0</xdr:rowOff>
                  </to>
                </anchor>
              </controlPr>
            </control>
          </mc:Choice>
        </mc:AlternateContent>
        <mc:AlternateContent xmlns:mc="http://schemas.openxmlformats.org/markup-compatibility/2006">
          <mc:Choice Requires="x14">
            <control shapeId="9218" r:id="rId4" name="Drop Down 2">
              <controlPr defaultSize="0" autoLine="0" autoPict="0">
                <anchor moveWithCells="1">
                  <from>
                    <xdr:col>5</xdr:col>
                    <xdr:colOff>0</xdr:colOff>
                    <xdr:row>2</xdr:row>
                    <xdr:rowOff>409575</xdr:rowOff>
                  </from>
                  <to>
                    <xdr:col>6</xdr:col>
                    <xdr:colOff>0</xdr:colOff>
                    <xdr:row>4</xdr:row>
                    <xdr:rowOff>0</xdr:rowOff>
                  </to>
                </anchor>
              </controlPr>
            </control>
          </mc:Choice>
        </mc:AlternateContent>
      </controls>
    </mc:Choice>
  </mc:AlternateContent>
  <tableParts count="3">
    <tablePart r:id="rId5"/>
    <tablePart r:id="rId6"/>
    <tablePart r:id="rId7"/>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4"/>
  <sheetViews>
    <sheetView workbookViewId="0">
      <selection activeCell="C7" sqref="C7:D7"/>
    </sheetView>
  </sheetViews>
  <sheetFormatPr defaultColWidth="8.875" defaultRowHeight="15.75" x14ac:dyDescent="0.25"/>
  <cols>
    <col min="1" max="1" width="9.875" bestFit="1" customWidth="1"/>
    <col min="2" max="2" width="13.125" customWidth="1"/>
    <col min="3" max="3" width="17" customWidth="1"/>
    <col min="4" max="4" width="10.125" customWidth="1"/>
    <col min="5" max="5" width="14.125" customWidth="1"/>
    <col min="6" max="6" width="10.125" customWidth="1"/>
    <col min="7" max="7" width="14.125" customWidth="1"/>
    <col min="8" max="8" width="12.125" customWidth="1"/>
    <col min="9" max="10" width="12.5" customWidth="1"/>
    <col min="12" max="12" width="18.375" customWidth="1"/>
    <col min="13" max="13" width="14.625" customWidth="1"/>
    <col min="17" max="17" width="21.375" customWidth="1"/>
    <col min="18" max="18" width="16" customWidth="1"/>
  </cols>
  <sheetData>
    <row r="1" spans="1:20" ht="15.75" customHeight="1" x14ac:dyDescent="0.25">
      <c r="C1" s="172" t="s">
        <v>245</v>
      </c>
      <c r="D1" s="173"/>
      <c r="E1" s="173"/>
      <c r="F1" s="173"/>
      <c r="G1" s="173"/>
      <c r="H1" s="174"/>
    </row>
    <row r="2" spans="1:20" ht="74.099999999999994" customHeight="1" x14ac:dyDescent="0.25">
      <c r="C2" s="175"/>
      <c r="D2" s="176"/>
      <c r="E2" s="176"/>
      <c r="F2" s="176"/>
      <c r="G2" s="176"/>
      <c r="H2" s="177"/>
    </row>
    <row r="3" spans="1:20" x14ac:dyDescent="0.25">
      <c r="C3" s="179" t="s">
        <v>212</v>
      </c>
      <c r="D3" s="179"/>
      <c r="E3" s="179" t="s">
        <v>213</v>
      </c>
      <c r="F3" s="179"/>
      <c r="G3" s="178" t="s">
        <v>15</v>
      </c>
      <c r="H3" s="178"/>
      <c r="I3" s="2" t="s">
        <v>217</v>
      </c>
      <c r="J3" s="2"/>
      <c r="M3" s="2" t="s">
        <v>220</v>
      </c>
    </row>
    <row r="4" spans="1:20" x14ac:dyDescent="0.25">
      <c r="B4" t="s">
        <v>107</v>
      </c>
      <c r="C4" s="149" t="s">
        <v>9</v>
      </c>
      <c r="D4" s="149" t="s">
        <v>32</v>
      </c>
      <c r="E4" s="149" t="s">
        <v>9</v>
      </c>
      <c r="F4" s="149" t="s">
        <v>32</v>
      </c>
      <c r="G4" s="149" t="s">
        <v>9</v>
      </c>
      <c r="H4" s="149" t="s">
        <v>29</v>
      </c>
      <c r="I4" s="149" t="s">
        <v>9</v>
      </c>
      <c r="J4" s="149" t="s">
        <v>29</v>
      </c>
      <c r="L4" s="149" t="s">
        <v>221</v>
      </c>
      <c r="M4" s="150"/>
    </row>
    <row r="5" spans="1:20" x14ac:dyDescent="0.25">
      <c r="A5" s="166">
        <v>44123</v>
      </c>
      <c r="B5">
        <f>WEEKNUM(A5,21)</f>
        <v>43</v>
      </c>
      <c r="C5" s="150"/>
      <c r="D5" s="150"/>
      <c r="E5" s="150"/>
      <c r="F5" s="150"/>
      <c r="G5" s="151"/>
      <c r="H5" s="151"/>
      <c r="I5" s="151"/>
      <c r="J5" s="151"/>
      <c r="L5" s="41" t="s">
        <v>222</v>
      </c>
      <c r="M5" s="150"/>
      <c r="N5" s="171" t="s">
        <v>223</v>
      </c>
      <c r="O5" s="171"/>
      <c r="P5" s="171"/>
      <c r="Q5" s="171"/>
      <c r="R5" s="171"/>
    </row>
    <row r="6" spans="1:20" x14ac:dyDescent="0.25">
      <c r="A6" s="166">
        <v>44193</v>
      </c>
      <c r="B6">
        <f>WEEKNUM(A6,21)</f>
        <v>53</v>
      </c>
      <c r="C6" s="151"/>
      <c r="D6" s="151"/>
      <c r="E6" s="150"/>
      <c r="F6" s="150"/>
      <c r="G6" s="151"/>
      <c r="H6" s="151"/>
      <c r="I6" s="151"/>
      <c r="J6" s="151"/>
      <c r="N6" s="171"/>
      <c r="O6" s="171"/>
      <c r="P6" s="171"/>
      <c r="Q6" s="171"/>
      <c r="R6" s="171"/>
    </row>
    <row r="7" spans="1:20" x14ac:dyDescent="0.25">
      <c r="A7" s="166">
        <v>44221</v>
      </c>
      <c r="B7">
        <f>WEEKNUM(A7,21)</f>
        <v>4</v>
      </c>
      <c r="C7" s="150"/>
      <c r="D7" s="150"/>
      <c r="E7" s="151"/>
      <c r="F7" s="151"/>
      <c r="G7" s="151"/>
      <c r="H7" s="151"/>
      <c r="I7" s="151"/>
      <c r="J7" s="151"/>
      <c r="N7" s="171"/>
      <c r="O7" s="171"/>
      <c r="P7" s="171"/>
      <c r="Q7" s="171"/>
      <c r="R7" s="171"/>
    </row>
    <row r="8" spans="1:20" x14ac:dyDescent="0.25">
      <c r="A8" s="166">
        <v>44235</v>
      </c>
      <c r="B8">
        <f>WEEKNUM(A8,21)</f>
        <v>6</v>
      </c>
      <c r="C8" s="151"/>
      <c r="D8" s="151"/>
      <c r="E8" s="151"/>
      <c r="F8" s="151"/>
      <c r="G8" s="150"/>
      <c r="H8" s="153"/>
      <c r="I8" s="151"/>
      <c r="J8" s="151"/>
      <c r="L8" s="160"/>
      <c r="M8" s="160"/>
      <c r="N8" s="171"/>
      <c r="O8" s="171"/>
      <c r="P8" s="171"/>
      <c r="Q8" s="171"/>
      <c r="R8" s="171"/>
    </row>
    <row r="9" spans="1:20" x14ac:dyDescent="0.25">
      <c r="A9" s="167">
        <v>44277</v>
      </c>
      <c r="B9">
        <f>WEEKNUM(A9,21)</f>
        <v>12</v>
      </c>
      <c r="C9" s="151"/>
      <c r="D9" s="151"/>
      <c r="E9" s="151"/>
      <c r="F9" s="151"/>
      <c r="G9" s="151"/>
      <c r="H9" s="151"/>
      <c r="I9" s="150"/>
      <c r="J9" s="153" t="s">
        <v>238</v>
      </c>
      <c r="K9" s="171" t="s">
        <v>243</v>
      </c>
      <c r="L9" s="171"/>
      <c r="M9" s="171"/>
      <c r="N9" s="171"/>
      <c r="O9" s="171"/>
      <c r="P9" s="171"/>
      <c r="Q9" s="171"/>
      <c r="R9" s="171"/>
    </row>
    <row r="10" spans="1:20" ht="16.5" customHeight="1" thickBot="1" x14ac:dyDescent="0.3">
      <c r="B10" s="152" t="s">
        <v>224</v>
      </c>
      <c r="C10" s="152">
        <f>IF(C7=0,C5,C7)</f>
        <v>0</v>
      </c>
      <c r="D10" s="152">
        <f>IF(D7=0,D5,D7)</f>
        <v>0</v>
      </c>
      <c r="E10" s="152">
        <f>IF(E6=0,E5,E6)</f>
        <v>0</v>
      </c>
      <c r="F10" s="152">
        <f>IF(F6=0,F5,F6)</f>
        <v>0</v>
      </c>
      <c r="G10" s="152">
        <f>G8</f>
        <v>0</v>
      </c>
      <c r="H10" s="152"/>
      <c r="I10" s="152">
        <f>I9</f>
        <v>0</v>
      </c>
      <c r="J10" s="152"/>
      <c r="K10" s="171"/>
      <c r="L10" s="171"/>
      <c r="M10" s="171"/>
      <c r="O10" s="156"/>
      <c r="P10" s="156"/>
      <c r="Q10" s="156"/>
    </row>
    <row r="11" spans="1:20" ht="16.5" thickTop="1" x14ac:dyDescent="0.25">
      <c r="B11" s="2" t="s">
        <v>225</v>
      </c>
      <c r="C11" s="74" t="e">
        <f>(C7-C5)/C5</f>
        <v>#DIV/0!</v>
      </c>
      <c r="D11" s="74" t="e">
        <f>(D7-D5)/D5</f>
        <v>#DIV/0!</v>
      </c>
      <c r="E11" s="74" t="e">
        <f>(E6-E5)/E5</f>
        <v>#DIV/0!</v>
      </c>
      <c r="F11" s="74" t="e">
        <f>(F6-F5)/F5</f>
        <v>#DIV/0!</v>
      </c>
      <c r="O11" s="156"/>
      <c r="P11" s="156"/>
      <c r="Q11" s="156"/>
    </row>
    <row r="12" spans="1:20" x14ac:dyDescent="0.25">
      <c r="O12" s="156"/>
      <c r="P12" s="156"/>
      <c r="Q12" s="156"/>
    </row>
    <row r="13" spans="1:20" ht="45" customHeight="1" x14ac:dyDescent="0.25">
      <c r="A13" s="161" t="s">
        <v>23</v>
      </c>
      <c r="B13" s="161" t="s">
        <v>102</v>
      </c>
      <c r="C13" s="162" t="s">
        <v>237</v>
      </c>
      <c r="D13" s="162" t="s">
        <v>227</v>
      </c>
      <c r="E13" s="163" t="s">
        <v>229</v>
      </c>
      <c r="F13" s="163" t="s">
        <v>236</v>
      </c>
      <c r="G13" s="161" t="s">
        <v>230</v>
      </c>
      <c r="H13" s="161" t="s">
        <v>231</v>
      </c>
      <c r="I13" s="161" t="s">
        <v>233</v>
      </c>
      <c r="J13" s="161" t="s">
        <v>234</v>
      </c>
      <c r="O13" s="155"/>
      <c r="R13" s="156"/>
      <c r="S13" s="156"/>
      <c r="T13" s="156"/>
    </row>
    <row r="14" spans="1:20" x14ac:dyDescent="0.25">
      <c r="A14" s="166">
        <v>44123</v>
      </c>
      <c r="B14">
        <f>WEEKNUM(A14,21)</f>
        <v>43</v>
      </c>
      <c r="C14" s="154">
        <f>INTERCEPT(D21:D22,B21:B22)</f>
        <v>0</v>
      </c>
      <c r="D14" s="158">
        <f>SLOPE(D21:D22,B21:B22)/1000</f>
        <v>0</v>
      </c>
      <c r="E14" s="154" t="e">
        <f>2.8/((1/F23)^3)</f>
        <v>#DIV/0!</v>
      </c>
      <c r="F14" s="157" t="e">
        <f>TIME(0,0,1/(F23/E23))</f>
        <v>#DIV/0!</v>
      </c>
      <c r="G14" s="159" t="e">
        <f>2.8/((1/F24)^3)</f>
        <v>#DIV/0!</v>
      </c>
      <c r="H14" s="26" t="e">
        <f>TIME(0,0,1/(F24/E24))</f>
        <v>#DIV/0!</v>
      </c>
      <c r="I14" s="1" t="e">
        <f>SLOPE(F21:F22,G21:G22)</f>
        <v>#DIV/0!</v>
      </c>
      <c r="J14" s="27" t="e">
        <f>INTERCEPT(F21:F22,G21:G22)</f>
        <v>#DIV/0!</v>
      </c>
    </row>
    <row r="15" spans="1:20" x14ac:dyDescent="0.25">
      <c r="A15" s="166">
        <v>44193</v>
      </c>
      <c r="B15">
        <f>WEEKNUM(A15,21)</f>
        <v>53</v>
      </c>
      <c r="C15" s="154" t="e">
        <f>INTERCEPT(D26:D27,B26:B27)</f>
        <v>#DIV/0!</v>
      </c>
      <c r="D15" s="158" t="e">
        <f>SLOPE(D26:D27,B26:B27)/1000</f>
        <v>#DIV/0!</v>
      </c>
      <c r="E15" s="154" t="e">
        <f>2.8/((1/F28)^3)</f>
        <v>#DIV/0!</v>
      </c>
      <c r="F15" s="157" t="e">
        <f>TIME(0,0,1/(F28/E28))</f>
        <v>#DIV/0!</v>
      </c>
      <c r="G15" s="159" t="e">
        <f>2.8/((1/F29)^3)</f>
        <v>#DIV/0!</v>
      </c>
      <c r="H15" s="26" t="e">
        <f>TIME(0,0,1/(F29/E29))</f>
        <v>#DIV/0!</v>
      </c>
      <c r="I15" s="1" t="e">
        <f>SLOPE(F26:F27,G26:G27)</f>
        <v>#DIV/0!</v>
      </c>
      <c r="J15" s="27" t="e">
        <f>INTERCEPT(F26:F27,G26:G27)</f>
        <v>#DIV/0!</v>
      </c>
    </row>
    <row r="16" spans="1:20" x14ac:dyDescent="0.25">
      <c r="A16" s="166">
        <v>44221</v>
      </c>
      <c r="B16">
        <f>WEEKNUM(A16,21)</f>
        <v>4</v>
      </c>
      <c r="C16" s="154">
        <f>INTERCEPT(D31:D32,B31:B32)</f>
        <v>0</v>
      </c>
      <c r="D16" s="158">
        <f>SLOPE(D31:D32,B31:B32)/1000</f>
        <v>0</v>
      </c>
      <c r="E16" s="154" t="e">
        <f>2.8/((1/F33)^3)</f>
        <v>#DIV/0!</v>
      </c>
      <c r="F16" s="157" t="e">
        <f>TIME(0,0,1/(F33/E33))</f>
        <v>#DIV/0!</v>
      </c>
      <c r="G16" s="159" t="e">
        <f>2.8/((1/F34)^3)</f>
        <v>#DIV/0!</v>
      </c>
      <c r="H16" s="26" t="e">
        <f>TIME(0,0,1/(F34/E34))</f>
        <v>#DIV/0!</v>
      </c>
      <c r="I16" s="1" t="e">
        <f>SLOPE(F31:F32,G31:G32)</f>
        <v>#DIV/0!</v>
      </c>
      <c r="J16" s="27" t="e">
        <f>INTERCEPT(F31:F32,G31:G32)</f>
        <v>#DIV/0!</v>
      </c>
    </row>
    <row r="17" spans="1:10" x14ac:dyDescent="0.25">
      <c r="A17" s="166">
        <v>44235</v>
      </c>
      <c r="B17">
        <f>WEEKNUM(A17,21)</f>
        <v>6</v>
      </c>
      <c r="C17" s="154" t="e">
        <f>INTERCEPT(D36:D38,B36:B38)</f>
        <v>#DIV/0!</v>
      </c>
      <c r="D17" s="158" t="e">
        <f>SLOPE(D36:D38,B36:B38)/1000</f>
        <v>#DIV/0!</v>
      </c>
      <c r="E17" s="154">
        <f>G8</f>
        <v>0</v>
      </c>
      <c r="F17" s="157" t="e">
        <f>TIME(0,0,1/(F37/E37))</f>
        <v>#DIV/0!</v>
      </c>
      <c r="G17" s="159" t="e">
        <f>2.8/((1/F39)^3)</f>
        <v>#DIV/0!</v>
      </c>
      <c r="H17" s="26" t="e">
        <f>TIME(0,0,1/(F39/E39))</f>
        <v>#DIV/0!</v>
      </c>
      <c r="I17" s="1" t="e">
        <f>SLOPE(F36:F38,G36:G38)</f>
        <v>#DIV/0!</v>
      </c>
      <c r="J17" s="27" t="e">
        <f>INTERCEPT(F36:F38,G36:G38)</f>
        <v>#DIV/0!</v>
      </c>
    </row>
    <row r="18" spans="1:10" x14ac:dyDescent="0.25">
      <c r="A18" s="167">
        <v>44277</v>
      </c>
      <c r="B18">
        <f>WEEKNUM(A18,21)</f>
        <v>12</v>
      </c>
      <c r="C18" s="154" t="e">
        <f>INTERCEPT(D41:D44,B41:B44)</f>
        <v>#DIV/0!</v>
      </c>
      <c r="D18" s="158" t="e">
        <f>SLOPE(D41:D44,B41:B44)/1000</f>
        <v>#DIV/0!</v>
      </c>
      <c r="E18" s="154" t="e">
        <f>2.8/((1/F42)^3)</f>
        <v>#DIV/0!</v>
      </c>
      <c r="F18" s="157" t="e">
        <f>TIME(0,0,1/(F42/E42))</f>
        <v>#DIV/0!</v>
      </c>
      <c r="G18" s="159" t="e">
        <f>2.8/((1/F44)^3)</f>
        <v>#VALUE!</v>
      </c>
      <c r="H18" s="26" t="e">
        <f>TIME(0,0,1/(F44/E44))</f>
        <v>#VALUE!</v>
      </c>
      <c r="I18" s="1" t="e">
        <f>SLOPE(F41:F44,G41:G44)</f>
        <v>#DIV/0!</v>
      </c>
      <c r="J18" s="27" t="e">
        <f>INTERCEPT(F41:F44,G41:G44)</f>
        <v>#DIV/0!</v>
      </c>
    </row>
    <row r="19" spans="1:10" x14ac:dyDescent="0.25">
      <c r="E19" s="27"/>
    </row>
    <row r="20" spans="1:10" x14ac:dyDescent="0.25">
      <c r="C20" s="170" t="s">
        <v>214</v>
      </c>
      <c r="D20" s="170"/>
      <c r="E20" t="s">
        <v>232</v>
      </c>
      <c r="F20" t="s">
        <v>228</v>
      </c>
      <c r="G20" t="s">
        <v>31</v>
      </c>
    </row>
    <row r="21" spans="1:10" x14ac:dyDescent="0.25">
      <c r="B21">
        <f>1/C21</f>
        <v>3.3333333333333335E-3</v>
      </c>
      <c r="C21">
        <f>5*60</f>
        <v>300</v>
      </c>
      <c r="D21">
        <f>C5</f>
        <v>0</v>
      </c>
      <c r="E21">
        <f>D5</f>
        <v>0</v>
      </c>
      <c r="F21">
        <f>E21/C21</f>
        <v>0</v>
      </c>
      <c r="G21" t="e">
        <f>1/E21</f>
        <v>#DIV/0!</v>
      </c>
    </row>
    <row r="22" spans="1:10" x14ac:dyDescent="0.25">
      <c r="B22">
        <f>1/C22</f>
        <v>8.3333333333333339E-4</v>
      </c>
      <c r="C22">
        <f>20*60</f>
        <v>1200</v>
      </c>
      <c r="D22">
        <f>E5</f>
        <v>0</v>
      </c>
      <c r="E22">
        <f>F5</f>
        <v>0</v>
      </c>
      <c r="F22">
        <f>E22/C22</f>
        <v>0</v>
      </c>
      <c r="G22" t="e">
        <f>1/E22</f>
        <v>#DIV/0!</v>
      </c>
    </row>
    <row r="23" spans="1:10" x14ac:dyDescent="0.25">
      <c r="E23">
        <v>2000</v>
      </c>
      <c r="F23" t="e">
        <f>I14*G23+J14</f>
        <v>#DIV/0!</v>
      </c>
      <c r="G23">
        <f>1/E23</f>
        <v>5.0000000000000001E-4</v>
      </c>
    </row>
    <row r="24" spans="1:10" x14ac:dyDescent="0.25">
      <c r="E24">
        <v>10000</v>
      </c>
      <c r="F24" t="e">
        <f>G24*I14+J14</f>
        <v>#DIV/0!</v>
      </c>
      <c r="G24">
        <f>1/E24</f>
        <v>1E-4</v>
      </c>
    </row>
    <row r="25" spans="1:10" x14ac:dyDescent="0.25">
      <c r="C25" s="170" t="s">
        <v>215</v>
      </c>
      <c r="D25" s="170"/>
      <c r="F25" t="s">
        <v>228</v>
      </c>
      <c r="G25" t="s">
        <v>31</v>
      </c>
    </row>
    <row r="26" spans="1:10" x14ac:dyDescent="0.25">
      <c r="B26">
        <f>1/C26</f>
        <v>3.3333333333333335E-3</v>
      </c>
      <c r="C26">
        <f>5*60</f>
        <v>300</v>
      </c>
      <c r="D26" t="e">
        <f>C5+(E11*C5)</f>
        <v>#DIV/0!</v>
      </c>
      <c r="E26" s="1" t="e">
        <f>D5+(F11*D5)</f>
        <v>#DIV/0!</v>
      </c>
      <c r="F26" t="e">
        <f>E26/C26</f>
        <v>#DIV/0!</v>
      </c>
      <c r="G26" t="e">
        <f>1/E26</f>
        <v>#DIV/0!</v>
      </c>
    </row>
    <row r="27" spans="1:10" x14ac:dyDescent="0.25">
      <c r="B27">
        <f>1/C27</f>
        <v>8.3333333333333339E-4</v>
      </c>
      <c r="C27">
        <f>20*60</f>
        <v>1200</v>
      </c>
      <c r="D27">
        <f>E6</f>
        <v>0</v>
      </c>
      <c r="E27">
        <f>F6</f>
        <v>0</v>
      </c>
      <c r="F27">
        <f>E27/C27</f>
        <v>0</v>
      </c>
      <c r="G27" t="e">
        <f>1/E27</f>
        <v>#DIV/0!</v>
      </c>
    </row>
    <row r="28" spans="1:10" x14ac:dyDescent="0.25">
      <c r="E28">
        <v>2000</v>
      </c>
      <c r="F28" t="e">
        <f>I15*G28+J15</f>
        <v>#DIV/0!</v>
      </c>
      <c r="G28">
        <f>1/E28</f>
        <v>5.0000000000000001E-4</v>
      </c>
    </row>
    <row r="29" spans="1:10" x14ac:dyDescent="0.25">
      <c r="E29">
        <v>10000</v>
      </c>
      <c r="F29" t="e">
        <f>G29*I15+J15</f>
        <v>#DIV/0!</v>
      </c>
      <c r="G29">
        <f>1/E29</f>
        <v>1E-4</v>
      </c>
    </row>
    <row r="30" spans="1:10" x14ac:dyDescent="0.25">
      <c r="C30" s="170" t="s">
        <v>216</v>
      </c>
      <c r="D30" s="170"/>
    </row>
    <row r="31" spans="1:10" x14ac:dyDescent="0.25">
      <c r="B31">
        <f>1/C31</f>
        <v>3.3333333333333335E-3</v>
      </c>
      <c r="C31">
        <f>5*60</f>
        <v>300</v>
      </c>
      <c r="D31">
        <f>C7</f>
        <v>0</v>
      </c>
      <c r="E31">
        <f>D7</f>
        <v>0</v>
      </c>
      <c r="F31">
        <f>E31/C31</f>
        <v>0</v>
      </c>
      <c r="G31" t="e">
        <f>1/E31</f>
        <v>#DIV/0!</v>
      </c>
    </row>
    <row r="32" spans="1:10" x14ac:dyDescent="0.25">
      <c r="B32">
        <f>1/C32</f>
        <v>8.3333333333333339E-4</v>
      </c>
      <c r="C32">
        <f>20*60</f>
        <v>1200</v>
      </c>
      <c r="D32">
        <f>E6</f>
        <v>0</v>
      </c>
      <c r="E32">
        <f>F6</f>
        <v>0</v>
      </c>
      <c r="F32">
        <f>E32/C32</f>
        <v>0</v>
      </c>
      <c r="G32" t="e">
        <f>1/E32</f>
        <v>#DIV/0!</v>
      </c>
    </row>
    <row r="33" spans="2:7" x14ac:dyDescent="0.25">
      <c r="E33">
        <v>2000</v>
      </c>
      <c r="F33" t="e">
        <f>I16*G33+J16</f>
        <v>#DIV/0!</v>
      </c>
      <c r="G33">
        <f>1/E33</f>
        <v>5.0000000000000001E-4</v>
      </c>
    </row>
    <row r="34" spans="2:7" x14ac:dyDescent="0.25">
      <c r="E34">
        <v>10000</v>
      </c>
      <c r="F34" t="e">
        <f>G34*I16+J16</f>
        <v>#DIV/0!</v>
      </c>
      <c r="G34">
        <f>1/E34</f>
        <v>1E-4</v>
      </c>
    </row>
    <row r="35" spans="2:7" x14ac:dyDescent="0.25">
      <c r="C35" s="170" t="s">
        <v>218</v>
      </c>
      <c r="D35" s="170"/>
    </row>
    <row r="36" spans="2:7" x14ac:dyDescent="0.25">
      <c r="B36">
        <f>1/C36</f>
        <v>3.3333333333333335E-3</v>
      </c>
      <c r="C36">
        <v>300</v>
      </c>
      <c r="D36">
        <f>C7</f>
        <v>0</v>
      </c>
      <c r="E36">
        <f>D7</f>
        <v>0</v>
      </c>
      <c r="F36">
        <f>E36/C36</f>
        <v>0</v>
      </c>
      <c r="G36" t="e">
        <f>1/E36</f>
        <v>#DIV/0!</v>
      </c>
    </row>
    <row r="37" spans="2:7" x14ac:dyDescent="0.25">
      <c r="B37" t="e">
        <f>1/C37</f>
        <v>#DIV/0!</v>
      </c>
      <c r="C37" s="27">
        <f>H8*86400</f>
        <v>0</v>
      </c>
      <c r="D37">
        <f>G8</f>
        <v>0</v>
      </c>
      <c r="E37">
        <v>2000</v>
      </c>
      <c r="F37" t="e">
        <f>E37/C37</f>
        <v>#DIV/0!</v>
      </c>
      <c r="G37">
        <f>1/E37</f>
        <v>5.0000000000000001E-4</v>
      </c>
    </row>
    <row r="38" spans="2:7" x14ac:dyDescent="0.25">
      <c r="B38">
        <f>1/C38</f>
        <v>8.3333333333333339E-4</v>
      </c>
      <c r="C38">
        <v>1200</v>
      </c>
      <c r="D38">
        <f>E6</f>
        <v>0</v>
      </c>
      <c r="E38">
        <f>F6</f>
        <v>0</v>
      </c>
      <c r="F38">
        <f>E38/C38</f>
        <v>0</v>
      </c>
      <c r="G38" t="e">
        <f>1/E38</f>
        <v>#DIV/0!</v>
      </c>
    </row>
    <row r="39" spans="2:7" x14ac:dyDescent="0.25">
      <c r="C39" s="170"/>
      <c r="D39" s="170"/>
      <c r="E39">
        <v>10000</v>
      </c>
      <c r="F39" t="e">
        <f>G39*I17+J17</f>
        <v>#DIV/0!</v>
      </c>
      <c r="G39">
        <f>1/E39</f>
        <v>1E-4</v>
      </c>
    </row>
    <row r="40" spans="2:7" x14ac:dyDescent="0.25">
      <c r="C40" s="148" t="s">
        <v>219</v>
      </c>
      <c r="D40" s="148"/>
    </row>
    <row r="41" spans="2:7" x14ac:dyDescent="0.25">
      <c r="B41">
        <f>1/C41</f>
        <v>3.3333333333333335E-3</v>
      </c>
      <c r="C41">
        <v>300</v>
      </c>
      <c r="D41">
        <f>C7</f>
        <v>0</v>
      </c>
      <c r="E41">
        <f>D7</f>
        <v>0</v>
      </c>
      <c r="F41">
        <f>E41/C41</f>
        <v>0</v>
      </c>
      <c r="G41" t="e">
        <f>1/E41</f>
        <v>#DIV/0!</v>
      </c>
    </row>
    <row r="42" spans="2:7" x14ac:dyDescent="0.25">
      <c r="B42" t="e">
        <f>1/C42</f>
        <v>#DIV/0!</v>
      </c>
      <c r="C42" s="27">
        <f>H8*86400</f>
        <v>0</v>
      </c>
      <c r="D42">
        <f>G8</f>
        <v>0</v>
      </c>
      <c r="E42">
        <v>2000</v>
      </c>
      <c r="F42" t="e">
        <f>E42/C42</f>
        <v>#DIV/0!</v>
      </c>
      <c r="G42">
        <f>1/E42</f>
        <v>5.0000000000000001E-4</v>
      </c>
    </row>
    <row r="43" spans="2:7" x14ac:dyDescent="0.25">
      <c r="B43">
        <f>1/C43</f>
        <v>8.3333333333333339E-4</v>
      </c>
      <c r="C43">
        <v>1200</v>
      </c>
      <c r="D43">
        <f>E6</f>
        <v>0</v>
      </c>
      <c r="E43">
        <f>F6</f>
        <v>0</v>
      </c>
      <c r="F43">
        <f>E43/C43</f>
        <v>0</v>
      </c>
      <c r="G43" t="e">
        <f>1/E43</f>
        <v>#DIV/0!</v>
      </c>
    </row>
    <row r="44" spans="2:7" x14ac:dyDescent="0.25">
      <c r="B44" t="e">
        <f>1/C44</f>
        <v>#VALUE!</v>
      </c>
      <c r="C44" s="27" t="e">
        <f>86400*J9</f>
        <v>#VALUE!</v>
      </c>
      <c r="D44">
        <f>I9</f>
        <v>0</v>
      </c>
      <c r="E44">
        <v>10000</v>
      </c>
      <c r="F44" t="e">
        <f>E44/C44</f>
        <v>#VALUE!</v>
      </c>
      <c r="G44">
        <f>1/E44</f>
        <v>1E-4</v>
      </c>
    </row>
  </sheetData>
  <mergeCells count="11">
    <mergeCell ref="N5:R9"/>
    <mergeCell ref="C1:H2"/>
    <mergeCell ref="K9:M10"/>
    <mergeCell ref="G3:H3"/>
    <mergeCell ref="C3:D3"/>
    <mergeCell ref="E3:F3"/>
    <mergeCell ref="C39:D39"/>
    <mergeCell ref="C20:D20"/>
    <mergeCell ref="C25:D25"/>
    <mergeCell ref="C30:D30"/>
    <mergeCell ref="C35:D35"/>
  </mergeCells>
  <pageMargins left="0.7" right="0.7" top="0.75" bottom="0.75" header="0.3" footer="0.3"/>
  <pageSetup paperSize="9" orientation="portrait" verticalDpi="0"/>
  <drawing r:id="rId1"/>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4"/>
  <sheetViews>
    <sheetView workbookViewId="0">
      <selection activeCell="C5" sqref="C5:F7"/>
    </sheetView>
  </sheetViews>
  <sheetFormatPr defaultColWidth="8.875" defaultRowHeight="15.75" x14ac:dyDescent="0.25"/>
  <cols>
    <col min="1" max="1" width="9.875" bestFit="1" customWidth="1"/>
    <col min="2" max="2" width="13.125" customWidth="1"/>
    <col min="3" max="3" width="17" customWidth="1"/>
    <col min="4" max="4" width="10.125" customWidth="1"/>
    <col min="5" max="5" width="14.125" customWidth="1"/>
    <col min="6" max="6" width="10.125" customWidth="1"/>
    <col min="7" max="7" width="14.125" customWidth="1"/>
    <col min="8" max="8" width="12.125" customWidth="1"/>
    <col min="9" max="10" width="12.5" customWidth="1"/>
    <col min="12" max="12" width="18.375" customWidth="1"/>
    <col min="13" max="13" width="14.625" customWidth="1"/>
    <col min="17" max="17" width="21.375" customWidth="1"/>
    <col min="18" max="18" width="16" customWidth="1"/>
  </cols>
  <sheetData>
    <row r="1" spans="1:20" ht="15.75" customHeight="1" x14ac:dyDescent="0.25">
      <c r="C1" s="172" t="s">
        <v>244</v>
      </c>
      <c r="D1" s="173"/>
      <c r="E1" s="173"/>
      <c r="F1" s="173"/>
      <c r="G1" s="173"/>
      <c r="H1" s="174"/>
    </row>
    <row r="2" spans="1:20" ht="80.099999999999994" customHeight="1" x14ac:dyDescent="0.25">
      <c r="C2" s="175"/>
      <c r="D2" s="176"/>
      <c r="E2" s="176"/>
      <c r="F2" s="176"/>
      <c r="G2" s="176"/>
      <c r="H2" s="177"/>
    </row>
    <row r="3" spans="1:20" x14ac:dyDescent="0.25">
      <c r="C3" s="179" t="s">
        <v>212</v>
      </c>
      <c r="D3" s="179"/>
      <c r="E3" s="179" t="s">
        <v>213</v>
      </c>
      <c r="F3" s="179"/>
      <c r="G3" s="178" t="s">
        <v>15</v>
      </c>
      <c r="H3" s="178"/>
      <c r="I3" s="2" t="s">
        <v>217</v>
      </c>
      <c r="J3" s="2"/>
      <c r="M3" s="2" t="s">
        <v>220</v>
      </c>
    </row>
    <row r="4" spans="1:20" x14ac:dyDescent="0.25">
      <c r="B4" t="s">
        <v>107</v>
      </c>
      <c r="C4" s="149" t="s">
        <v>9</v>
      </c>
      <c r="D4" s="149" t="s">
        <v>32</v>
      </c>
      <c r="E4" s="149" t="s">
        <v>9</v>
      </c>
      <c r="F4" s="149" t="s">
        <v>32</v>
      </c>
      <c r="G4" s="149" t="s">
        <v>9</v>
      </c>
      <c r="H4" s="149" t="s">
        <v>29</v>
      </c>
      <c r="I4" s="149" t="s">
        <v>9</v>
      </c>
      <c r="J4" s="149" t="s">
        <v>29</v>
      </c>
      <c r="L4" s="149" t="s">
        <v>221</v>
      </c>
      <c r="M4" s="150">
        <v>375</v>
      </c>
    </row>
    <row r="5" spans="1:20" x14ac:dyDescent="0.25">
      <c r="A5" s="166">
        <v>43759</v>
      </c>
      <c r="B5">
        <f>WEEKNUM(A5,21)</f>
        <v>43</v>
      </c>
      <c r="C5" s="150">
        <v>375</v>
      </c>
      <c r="D5" s="150">
        <v>1535</v>
      </c>
      <c r="E5" s="150">
        <v>296</v>
      </c>
      <c r="F5" s="150">
        <v>5676</v>
      </c>
      <c r="G5" s="151"/>
      <c r="H5" s="151"/>
      <c r="I5" s="151"/>
      <c r="J5" s="151"/>
      <c r="L5" s="164" t="s">
        <v>222</v>
      </c>
      <c r="M5" s="150">
        <v>195</v>
      </c>
      <c r="N5" s="171" t="s">
        <v>223</v>
      </c>
      <c r="O5" s="171"/>
      <c r="P5" s="171"/>
      <c r="Q5" s="171"/>
      <c r="R5" s="171"/>
    </row>
    <row r="6" spans="1:20" x14ac:dyDescent="0.25">
      <c r="A6" s="166">
        <v>43811</v>
      </c>
      <c r="B6">
        <f>WEEKNUM(A6,21)</f>
        <v>50</v>
      </c>
      <c r="C6" s="151"/>
      <c r="D6" s="151"/>
      <c r="E6" s="150">
        <v>300</v>
      </c>
      <c r="F6" s="150">
        <v>5815</v>
      </c>
      <c r="G6" s="151"/>
      <c r="H6" s="151"/>
      <c r="I6" s="151"/>
      <c r="J6" s="151"/>
      <c r="N6" s="171"/>
      <c r="O6" s="171"/>
      <c r="P6" s="171"/>
      <c r="Q6" s="171"/>
      <c r="R6" s="171"/>
    </row>
    <row r="7" spans="1:20" x14ac:dyDescent="0.25">
      <c r="A7" s="166">
        <v>43832</v>
      </c>
      <c r="B7">
        <f>WEEKNUM(A7,21)</f>
        <v>1</v>
      </c>
      <c r="C7" s="150">
        <v>400</v>
      </c>
      <c r="D7" s="150">
        <v>1546</v>
      </c>
      <c r="E7" s="151"/>
      <c r="F7" s="151"/>
      <c r="G7" s="151"/>
      <c r="H7" s="151"/>
      <c r="I7" s="151"/>
      <c r="J7" s="151"/>
      <c r="N7" s="171"/>
      <c r="O7" s="171"/>
      <c r="P7" s="171"/>
      <c r="Q7" s="171"/>
      <c r="R7" s="171"/>
    </row>
    <row r="8" spans="1:20" x14ac:dyDescent="0.25">
      <c r="A8" s="166">
        <v>43872</v>
      </c>
      <c r="B8">
        <f>WEEKNUM(A8,21)</f>
        <v>7</v>
      </c>
      <c r="C8" s="151"/>
      <c r="D8" s="151"/>
      <c r="E8" s="151"/>
      <c r="F8" s="151"/>
      <c r="G8" s="150">
        <v>375</v>
      </c>
      <c r="H8" s="153">
        <v>4.5138888888888893E-3</v>
      </c>
      <c r="I8" s="151"/>
      <c r="J8" s="151"/>
      <c r="L8" s="160"/>
      <c r="M8" s="160"/>
      <c r="N8" s="171"/>
      <c r="O8" s="171"/>
      <c r="P8" s="171"/>
      <c r="Q8" s="171"/>
      <c r="R8" s="171"/>
    </row>
    <row r="9" spans="1:20" x14ac:dyDescent="0.25">
      <c r="A9" s="167">
        <v>43901</v>
      </c>
      <c r="B9">
        <f>WEEKNUM(A9,21)</f>
        <v>11</v>
      </c>
      <c r="C9" s="151"/>
      <c r="D9" s="151"/>
      <c r="E9" s="151"/>
      <c r="F9" s="151"/>
      <c r="G9" s="151"/>
      <c r="H9" s="151"/>
      <c r="I9" s="150">
        <v>285</v>
      </c>
      <c r="J9" s="153">
        <v>2.476851851851852E-2</v>
      </c>
      <c r="K9" s="171" t="s">
        <v>243</v>
      </c>
      <c r="L9" s="171"/>
      <c r="M9" s="171"/>
      <c r="N9" s="171"/>
      <c r="O9" s="171"/>
      <c r="P9" s="171"/>
      <c r="Q9" s="171"/>
      <c r="R9" s="171"/>
    </row>
    <row r="10" spans="1:20" ht="16.5" customHeight="1" thickBot="1" x14ac:dyDescent="0.3">
      <c r="B10" s="152" t="s">
        <v>224</v>
      </c>
      <c r="C10" s="152">
        <f>IF(C7=0,C5,C7)</f>
        <v>400</v>
      </c>
      <c r="D10" s="152">
        <f>IF(D7=0,D5,D7)</f>
        <v>1546</v>
      </c>
      <c r="E10" s="152">
        <f>IF(E6=0,E5,E6)</f>
        <v>300</v>
      </c>
      <c r="F10" s="152">
        <f>IF(F6=0,F5,F6)</f>
        <v>5815</v>
      </c>
      <c r="G10" s="152">
        <f>G8</f>
        <v>375</v>
      </c>
      <c r="H10" s="152"/>
      <c r="I10" s="152">
        <f>I9</f>
        <v>285</v>
      </c>
      <c r="J10" s="152"/>
      <c r="K10" s="171"/>
      <c r="L10" s="171"/>
      <c r="M10" s="171"/>
      <c r="O10" s="156"/>
      <c r="P10" s="156"/>
      <c r="Q10" s="156"/>
    </row>
    <row r="11" spans="1:20" ht="16.5" thickTop="1" x14ac:dyDescent="0.25">
      <c r="B11" s="2" t="s">
        <v>225</v>
      </c>
      <c r="C11" s="74">
        <f>(C7-C5)/C5</f>
        <v>6.6666666666666666E-2</v>
      </c>
      <c r="D11" s="74">
        <f>(D7-D5)/D5</f>
        <v>7.1661237785016286E-3</v>
      </c>
      <c r="E11" s="74">
        <f>(E6-E5)/E5</f>
        <v>1.3513513513513514E-2</v>
      </c>
      <c r="F11" s="74">
        <f>(F6-F5)/F5</f>
        <v>2.4489076814658211E-2</v>
      </c>
      <c r="O11" s="156"/>
      <c r="P11" s="156"/>
      <c r="Q11" s="156"/>
    </row>
    <row r="12" spans="1:20" x14ac:dyDescent="0.25">
      <c r="O12" s="156"/>
      <c r="P12" s="156"/>
      <c r="Q12" s="156"/>
    </row>
    <row r="13" spans="1:20" ht="45" customHeight="1" x14ac:dyDescent="0.25">
      <c r="A13" s="161" t="s">
        <v>23</v>
      </c>
      <c r="B13" s="161" t="s">
        <v>102</v>
      </c>
      <c r="C13" s="162" t="s">
        <v>237</v>
      </c>
      <c r="D13" s="162" t="s">
        <v>227</v>
      </c>
      <c r="E13" s="163" t="s">
        <v>229</v>
      </c>
      <c r="F13" s="163" t="s">
        <v>236</v>
      </c>
      <c r="G13" s="161" t="s">
        <v>230</v>
      </c>
      <c r="H13" s="161" t="s">
        <v>231</v>
      </c>
      <c r="I13" s="161" t="s">
        <v>233</v>
      </c>
      <c r="J13" s="161" t="s">
        <v>234</v>
      </c>
      <c r="O13" s="155"/>
      <c r="R13" s="156"/>
      <c r="S13" s="156"/>
      <c r="T13" s="156"/>
    </row>
    <row r="14" spans="1:20" x14ac:dyDescent="0.25">
      <c r="A14" s="166">
        <v>43759</v>
      </c>
      <c r="B14">
        <f>WEEKNUM(A14,21)</f>
        <v>43</v>
      </c>
      <c r="C14" s="154">
        <f>INTERCEPT(D21:D22,B21:B22)</f>
        <v>269.66666666666669</v>
      </c>
      <c r="D14" s="158">
        <f>SLOPE(D21:D22,B21:B22)/1000</f>
        <v>31.6</v>
      </c>
      <c r="E14" s="154">
        <f>2.8/((1/F23)^3)</f>
        <v>348.62467330028926</v>
      </c>
      <c r="F14" s="157">
        <f>TIME(0,0,1/(F23/E23))</f>
        <v>4.6296296296296302E-3</v>
      </c>
      <c r="G14" s="159">
        <f>2.8/((1/F24)^3)</f>
        <v>284.8112837770272</v>
      </c>
      <c r="H14" s="26">
        <f>TIME(0,0,1/(F24/E24))</f>
        <v>2.479166666666667E-2</v>
      </c>
      <c r="I14" s="1">
        <f>SLOPE(F21:F22,G21:G22)</f>
        <v>813.54629316590024</v>
      </c>
      <c r="J14" s="27">
        <f>INTERCEPT(F21:F22,G21:G22)</f>
        <v>4.5866690815423015</v>
      </c>
    </row>
    <row r="15" spans="1:20" x14ac:dyDescent="0.25">
      <c r="A15" s="23">
        <v>43811</v>
      </c>
      <c r="B15">
        <f>WEEKNUM(A15,21)</f>
        <v>50</v>
      </c>
      <c r="C15" s="154">
        <f>INTERCEPT(D26:D27,B26:B27)</f>
        <v>273.31081081081078</v>
      </c>
      <c r="D15" s="158">
        <f>SLOPE(D26:D27,B26:B27)/1000</f>
        <v>32.027027027027017</v>
      </c>
      <c r="E15" s="154">
        <f>2.8/((1/F28)^3)</f>
        <v>377.11748713820595</v>
      </c>
      <c r="F15" s="157">
        <f>TIME(0,0,1/(F28/E28))</f>
        <v>4.5138888888888893E-3</v>
      </c>
      <c r="G15" s="159">
        <f>2.8/((1/F29)^3)</f>
        <v>306.64446972469449</v>
      </c>
      <c r="H15" s="26">
        <f>TIME(0,0,1/(F29/E29))</f>
        <v>2.4189814814814817E-2</v>
      </c>
      <c r="I15" s="1">
        <f>SLOPE(F26:F27,G26:G27)</f>
        <v>853.88018431735327</v>
      </c>
      <c r="J15" s="27">
        <f>INTERCEPT(F26:F27,G26:G27)</f>
        <v>4.6989923730036081</v>
      </c>
    </row>
    <row r="16" spans="1:20" x14ac:dyDescent="0.25">
      <c r="A16" s="23">
        <v>43832</v>
      </c>
      <c r="B16">
        <f>WEEKNUM(A16,21)</f>
        <v>1</v>
      </c>
      <c r="C16" s="154">
        <f>INTERCEPT(D31:D32,B31:B32)</f>
        <v>266.66666666666669</v>
      </c>
      <c r="D16" s="158">
        <f>SLOPE(D31:D32,B31:B32)/1000</f>
        <v>40</v>
      </c>
      <c r="E16" s="154">
        <f>2.8/((1/F33)^3)</f>
        <v>364.01323821394044</v>
      </c>
      <c r="F16" s="157">
        <f>TIME(0,0,1/(F33/E33))</f>
        <v>4.5601851851851853E-3</v>
      </c>
      <c r="G16" s="159">
        <f>2.8/((1/F34)^3)</f>
        <v>310.98240561375923</v>
      </c>
      <c r="H16" s="26">
        <f>TIME(0,0,1/(F34/E34))</f>
        <v>2.4074074074074071E-2</v>
      </c>
      <c r="I16" s="1">
        <f>SLOPE(F31:F32,G31:G32)</f>
        <v>647.55725579761076</v>
      </c>
      <c r="J16" s="27">
        <f>INTERCEPT(F36:F38,G36:G38)</f>
        <v>4.7420798026414088</v>
      </c>
    </row>
    <row r="17" spans="1:10" x14ac:dyDescent="0.25">
      <c r="A17" s="23">
        <v>43872</v>
      </c>
      <c r="B17">
        <f>WEEKNUM(A17,21)</f>
        <v>7</v>
      </c>
      <c r="C17" s="154">
        <f>INTERCEPT(D36:D38,B36:B38)</f>
        <v>267.32456140350871</v>
      </c>
      <c r="D17" s="158">
        <f>SLOPE(D36:D38,B36:B38)/1000</f>
        <v>40.563909774436091</v>
      </c>
      <c r="E17" s="154">
        <f>G8</f>
        <v>375</v>
      </c>
      <c r="F17" s="157">
        <f>TIME(0,0,1/(F37/E37))</f>
        <v>4.5138888888888893E-3</v>
      </c>
      <c r="G17" s="159">
        <f>2.8/((1/F39)^3)</f>
        <v>311.67659438715333</v>
      </c>
      <c r="H17" s="26">
        <f>TIME(0,0,1/(F39/E39))</f>
        <v>2.4050925925925924E-2</v>
      </c>
      <c r="I17" s="1">
        <f>SLOPE(F36:F38,G36:G38)</f>
        <v>683.2974497150816</v>
      </c>
      <c r="J17" s="27">
        <f>INTERCEPT(F36:F38,G36:G38)</f>
        <v>4.7420798026414088</v>
      </c>
    </row>
    <row r="18" spans="1:10" x14ac:dyDescent="0.25">
      <c r="A18" s="23">
        <v>43901</v>
      </c>
      <c r="B18">
        <f>WEEKNUM(A18,21)</f>
        <v>11</v>
      </c>
      <c r="C18" s="154">
        <f>INTERCEPT(D41:D44,B41:B44)</f>
        <v>266.46124216795135</v>
      </c>
      <c r="D18" s="158">
        <f>SLOPE(D41:D44,B41:B44)/1000</f>
        <v>40.865882504621069</v>
      </c>
      <c r="E18" s="154">
        <f>2.8/((1/F42)^3)</f>
        <v>377.61931253055508</v>
      </c>
      <c r="F18" s="157">
        <f>TIME(0,0,1/(F42/E42))</f>
        <v>4.5138888888888893E-3</v>
      </c>
      <c r="G18" s="159">
        <f>2.8/((1/F44)^3)</f>
        <v>285.70425691179821</v>
      </c>
      <c r="H18" s="26">
        <f>TIME(0,0,1/(F44/E44))</f>
        <v>2.476851851851852E-2</v>
      </c>
      <c r="I18" s="1">
        <f>SLOPE(F41:F44,G41:G44)</f>
        <v>854.38592118095642</v>
      </c>
      <c r="J18" s="27">
        <f>INTERCEPT(F41:F44,G41:G44)</f>
        <v>4.6470166521111942</v>
      </c>
    </row>
    <row r="19" spans="1:10" x14ac:dyDescent="0.25">
      <c r="E19" s="27"/>
    </row>
    <row r="20" spans="1:10" x14ac:dyDescent="0.25">
      <c r="C20" s="170" t="s">
        <v>214</v>
      </c>
      <c r="D20" s="170"/>
      <c r="E20" t="s">
        <v>232</v>
      </c>
      <c r="F20" t="s">
        <v>228</v>
      </c>
      <c r="G20" t="s">
        <v>31</v>
      </c>
    </row>
    <row r="21" spans="1:10" x14ac:dyDescent="0.25">
      <c r="B21">
        <f>1/C21</f>
        <v>3.3333333333333335E-3</v>
      </c>
      <c r="C21">
        <f>5*60</f>
        <v>300</v>
      </c>
      <c r="D21">
        <f>C5</f>
        <v>375</v>
      </c>
      <c r="E21">
        <f>D5</f>
        <v>1535</v>
      </c>
      <c r="F21">
        <f>E21/C21</f>
        <v>5.1166666666666663</v>
      </c>
      <c r="G21">
        <f>1/E21</f>
        <v>6.5146579804560263E-4</v>
      </c>
    </row>
    <row r="22" spans="1:10" x14ac:dyDescent="0.25">
      <c r="B22">
        <f>1/C22</f>
        <v>8.3333333333333339E-4</v>
      </c>
      <c r="C22">
        <f>20*60</f>
        <v>1200</v>
      </c>
      <c r="D22">
        <f>E5</f>
        <v>296</v>
      </c>
      <c r="E22">
        <f>F5</f>
        <v>5676</v>
      </c>
      <c r="F22">
        <f>E22/C22</f>
        <v>4.7300000000000004</v>
      </c>
      <c r="G22">
        <f>1/E22</f>
        <v>1.7618040873854828E-4</v>
      </c>
    </row>
    <row r="23" spans="1:10" x14ac:dyDescent="0.25">
      <c r="E23">
        <v>2000</v>
      </c>
      <c r="F23">
        <f>I14*G23+J14</f>
        <v>4.993442228125252</v>
      </c>
      <c r="G23">
        <f>1/E23</f>
        <v>5.0000000000000001E-4</v>
      </c>
    </row>
    <row r="24" spans="1:10" x14ac:dyDescent="0.25">
      <c r="E24">
        <v>10000</v>
      </c>
      <c r="F24">
        <f>G24*I14+J14</f>
        <v>4.6680237108588916</v>
      </c>
      <c r="G24">
        <f>1/E24</f>
        <v>1E-4</v>
      </c>
    </row>
    <row r="25" spans="1:10" x14ac:dyDescent="0.25">
      <c r="C25" s="170" t="s">
        <v>215</v>
      </c>
      <c r="D25" s="170"/>
      <c r="F25" t="s">
        <v>228</v>
      </c>
      <c r="G25" t="s">
        <v>31</v>
      </c>
    </row>
    <row r="26" spans="1:10" x14ac:dyDescent="0.25">
      <c r="B26">
        <f>1/C26</f>
        <v>3.3333333333333335E-3</v>
      </c>
      <c r="C26">
        <f>5*60</f>
        <v>300</v>
      </c>
      <c r="D26">
        <f>C5+(E11*C5)</f>
        <v>380.06756756756755</v>
      </c>
      <c r="E26" s="1">
        <f>D5+(F11*D5)</f>
        <v>1572.5907329105003</v>
      </c>
      <c r="F26">
        <f>E26/C26</f>
        <v>5.2419691097016674</v>
      </c>
      <c r="G26">
        <f>1/E26</f>
        <v>6.3589335678535517E-4</v>
      </c>
    </row>
    <row r="27" spans="1:10" x14ac:dyDescent="0.25">
      <c r="B27">
        <f>1/C27</f>
        <v>8.3333333333333339E-4</v>
      </c>
      <c r="C27">
        <f>20*60</f>
        <v>1200</v>
      </c>
      <c r="D27">
        <f>E6</f>
        <v>300</v>
      </c>
      <c r="E27">
        <f>F6</f>
        <v>5815</v>
      </c>
      <c r="F27">
        <f>E27/C27</f>
        <v>4.8458333333333332</v>
      </c>
      <c r="G27">
        <f>1/E27</f>
        <v>1.7196904557179707E-4</v>
      </c>
    </row>
    <row r="28" spans="1:10" x14ac:dyDescent="0.25">
      <c r="E28">
        <v>2000</v>
      </c>
      <c r="F28">
        <f>I15*G28+J15</f>
        <v>5.1259324651622844</v>
      </c>
      <c r="G28">
        <f>1/E28</f>
        <v>5.0000000000000001E-4</v>
      </c>
    </row>
    <row r="29" spans="1:10" x14ac:dyDescent="0.25">
      <c r="E29">
        <v>10000</v>
      </c>
      <c r="F29">
        <f>G29*I15+J15</f>
        <v>4.7843803914353433</v>
      </c>
      <c r="G29">
        <f>1/E29</f>
        <v>1E-4</v>
      </c>
    </row>
    <row r="30" spans="1:10" x14ac:dyDescent="0.25">
      <c r="C30" s="170" t="s">
        <v>216</v>
      </c>
      <c r="D30" s="170"/>
    </row>
    <row r="31" spans="1:10" x14ac:dyDescent="0.25">
      <c r="B31">
        <f>1/C31</f>
        <v>3.3333333333333335E-3</v>
      </c>
      <c r="C31">
        <f>5*60</f>
        <v>300</v>
      </c>
      <c r="D31">
        <f>C7</f>
        <v>400</v>
      </c>
      <c r="E31">
        <f>D7</f>
        <v>1546</v>
      </c>
      <c r="F31">
        <f>E31/C31</f>
        <v>5.1533333333333333</v>
      </c>
      <c r="G31">
        <f>1/E31</f>
        <v>6.4683053040103498E-4</v>
      </c>
    </row>
    <row r="32" spans="1:10" x14ac:dyDescent="0.25">
      <c r="B32">
        <f>1/C32</f>
        <v>8.3333333333333339E-4</v>
      </c>
      <c r="C32">
        <f>20*60</f>
        <v>1200</v>
      </c>
      <c r="D32">
        <f>E6</f>
        <v>300</v>
      </c>
      <c r="E32">
        <f>F6</f>
        <v>5815</v>
      </c>
      <c r="F32">
        <f>E32/C32</f>
        <v>4.8458333333333332</v>
      </c>
      <c r="G32">
        <f>1/E32</f>
        <v>1.7196904557179707E-4</v>
      </c>
    </row>
    <row r="33" spans="2:7" x14ac:dyDescent="0.25">
      <c r="E33">
        <v>2000</v>
      </c>
      <c r="F33">
        <f>I16*G33+J16</f>
        <v>5.0658584305402146</v>
      </c>
      <c r="G33">
        <f>1/E33</f>
        <v>5.0000000000000001E-4</v>
      </c>
    </row>
    <row r="34" spans="2:7" x14ac:dyDescent="0.25">
      <c r="E34">
        <v>10000</v>
      </c>
      <c r="F34">
        <f>G34*I16+J16</f>
        <v>4.8068355282211703</v>
      </c>
      <c r="G34">
        <f>1/E34</f>
        <v>1E-4</v>
      </c>
    </row>
    <row r="35" spans="2:7" x14ac:dyDescent="0.25">
      <c r="C35" s="170" t="s">
        <v>218</v>
      </c>
      <c r="D35" s="170"/>
    </row>
    <row r="36" spans="2:7" x14ac:dyDescent="0.25">
      <c r="B36">
        <f>1/C36</f>
        <v>3.3333333333333335E-3</v>
      </c>
      <c r="C36">
        <v>300</v>
      </c>
      <c r="D36">
        <f>C7</f>
        <v>400</v>
      </c>
      <c r="E36">
        <f>D7</f>
        <v>1546</v>
      </c>
      <c r="F36">
        <f>E36/C36</f>
        <v>5.1533333333333333</v>
      </c>
      <c r="G36">
        <f>1/E36</f>
        <v>6.4683053040103498E-4</v>
      </c>
    </row>
    <row r="37" spans="2:7" x14ac:dyDescent="0.25">
      <c r="B37">
        <f>1/C37</f>
        <v>2.5641025641025637E-3</v>
      </c>
      <c r="C37" s="27">
        <f>H8*86400</f>
        <v>390.00000000000006</v>
      </c>
      <c r="D37">
        <f>G8</f>
        <v>375</v>
      </c>
      <c r="E37">
        <v>2000</v>
      </c>
      <c r="F37">
        <f>E37/C37</f>
        <v>5.1282051282051277</v>
      </c>
      <c r="G37">
        <f>1/E37</f>
        <v>5.0000000000000001E-4</v>
      </c>
    </row>
    <row r="38" spans="2:7" x14ac:dyDescent="0.25">
      <c r="B38">
        <f>1/C38</f>
        <v>8.3333333333333339E-4</v>
      </c>
      <c r="C38">
        <v>1200</v>
      </c>
      <c r="D38">
        <f>E6</f>
        <v>300</v>
      </c>
      <c r="E38">
        <f>F6</f>
        <v>5815</v>
      </c>
      <c r="F38">
        <f>E38/C38</f>
        <v>4.8458333333333332</v>
      </c>
      <c r="G38">
        <f>1/E38</f>
        <v>1.7196904557179707E-4</v>
      </c>
    </row>
    <row r="39" spans="2:7" x14ac:dyDescent="0.25">
      <c r="C39" s="170"/>
      <c r="D39" s="170"/>
      <c r="E39">
        <v>10000</v>
      </c>
      <c r="F39">
        <f>G39*I17+J17</f>
        <v>4.8104095476129167</v>
      </c>
      <c r="G39">
        <f>1/E39</f>
        <v>1E-4</v>
      </c>
    </row>
    <row r="40" spans="2:7" x14ac:dyDescent="0.25">
      <c r="C40" s="164" t="s">
        <v>219</v>
      </c>
      <c r="D40" s="164"/>
    </row>
    <row r="41" spans="2:7" x14ac:dyDescent="0.25">
      <c r="B41">
        <f>1/C41</f>
        <v>3.3333333333333335E-3</v>
      </c>
      <c r="C41">
        <v>300</v>
      </c>
      <c r="D41">
        <f>C7</f>
        <v>400</v>
      </c>
      <c r="E41">
        <f>D7</f>
        <v>1546</v>
      </c>
      <c r="F41">
        <f>E41/C41</f>
        <v>5.1533333333333333</v>
      </c>
      <c r="G41">
        <f>1/E41</f>
        <v>6.4683053040103498E-4</v>
      </c>
    </row>
    <row r="42" spans="2:7" x14ac:dyDescent="0.25">
      <c r="B42">
        <f>1/C42</f>
        <v>2.5641025641025637E-3</v>
      </c>
      <c r="C42" s="27">
        <f>H8*86400</f>
        <v>390.00000000000006</v>
      </c>
      <c r="D42">
        <f>G8</f>
        <v>375</v>
      </c>
      <c r="E42">
        <v>2000</v>
      </c>
      <c r="F42">
        <f>E42/C42</f>
        <v>5.1282051282051277</v>
      </c>
      <c r="G42">
        <f>1/E42</f>
        <v>5.0000000000000001E-4</v>
      </c>
    </row>
    <row r="43" spans="2:7" x14ac:dyDescent="0.25">
      <c r="B43">
        <f>1/C43</f>
        <v>8.3333333333333339E-4</v>
      </c>
      <c r="C43">
        <v>1200</v>
      </c>
      <c r="D43">
        <f>E6</f>
        <v>300</v>
      </c>
      <c r="E43">
        <f>F6</f>
        <v>5815</v>
      </c>
      <c r="F43">
        <f>E43/C43</f>
        <v>4.8458333333333332</v>
      </c>
      <c r="G43">
        <f>1/E43</f>
        <v>1.7196904557179707E-4</v>
      </c>
    </row>
    <row r="44" spans="2:7" x14ac:dyDescent="0.25">
      <c r="B44">
        <f>1/C44</f>
        <v>4.6728971962616824E-4</v>
      </c>
      <c r="C44" s="27">
        <f>86400*J9</f>
        <v>2140</v>
      </c>
      <c r="D44">
        <f>I9</f>
        <v>285</v>
      </c>
      <c r="E44">
        <v>10000</v>
      </c>
      <c r="F44">
        <f>E44/C44</f>
        <v>4.6728971962616823</v>
      </c>
      <c r="G44">
        <f>1/E44</f>
        <v>1E-4</v>
      </c>
    </row>
  </sheetData>
  <mergeCells count="11">
    <mergeCell ref="C20:D20"/>
    <mergeCell ref="C25:D25"/>
    <mergeCell ref="C30:D30"/>
    <mergeCell ref="C35:D35"/>
    <mergeCell ref="C39:D39"/>
    <mergeCell ref="C1:H2"/>
    <mergeCell ref="C3:D3"/>
    <mergeCell ref="E3:F3"/>
    <mergeCell ref="G3:H3"/>
    <mergeCell ref="N5:R9"/>
    <mergeCell ref="K9:M10"/>
  </mergeCells>
  <pageMargins left="0.7" right="0.7" top="0.75" bottom="0.75" header="0.3" footer="0.3"/>
  <pageSetup paperSize="9" orientation="portrait" verticalDpi="0"/>
  <drawing r:id="rId1"/>
  <tableParts count="1">
    <tablePart r:id="rId2"/>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486"/>
  <sheetViews>
    <sheetView topLeftCell="A367" zoomScale="125" zoomScaleNormal="125" zoomScalePageLayoutView="125" workbookViewId="0">
      <selection activeCell="A376" sqref="A376:F378"/>
    </sheetView>
  </sheetViews>
  <sheetFormatPr defaultColWidth="8.875" defaultRowHeight="15.75" x14ac:dyDescent="0.25"/>
  <cols>
    <col min="1" max="1" width="10.5" customWidth="1"/>
    <col min="2" max="2" width="11.625" customWidth="1"/>
    <col min="3" max="3" width="26.75" customWidth="1"/>
    <col min="4" max="4" width="14.125" customWidth="1"/>
    <col min="5" max="5" width="5.625" customWidth="1"/>
    <col min="6" max="6" width="7" customWidth="1"/>
    <col min="7" max="7" width="6.375" customWidth="1"/>
    <col min="8" max="8" width="7.875" customWidth="1"/>
    <col min="9" max="9" width="8.125" customWidth="1"/>
    <col min="10" max="19" width="14" customWidth="1"/>
    <col min="20" max="20" width="11.625" customWidth="1"/>
    <col min="21" max="23" width="10.125" customWidth="1"/>
    <col min="24" max="25" width="13.625" customWidth="1"/>
    <col min="31" max="31" width="16.625" customWidth="1"/>
    <col min="32" max="32" width="12.375" customWidth="1"/>
    <col min="33" max="33" width="12" customWidth="1"/>
    <col min="34" max="34" width="9.5" bestFit="1" customWidth="1"/>
    <col min="35" max="35" width="11.125" customWidth="1"/>
  </cols>
  <sheetData>
    <row r="1" spans="1:34" ht="45" customHeight="1" x14ac:dyDescent="0.25">
      <c r="A1" s="145" t="str">
        <f>VLOOKUP(A3,Kausisuunnitelma,5,1)</f>
        <v>Kova 1</v>
      </c>
      <c r="B1" s="147" t="s">
        <v>108</v>
      </c>
      <c r="C1" s="146" t="str">
        <f>VLOOKUP(A3,Kausisuunnitelma,3,1)</f>
        <v>Harjoittelun aloitus</v>
      </c>
      <c r="D1" s="124"/>
      <c r="E1" s="147">
        <f>VLOOKUP(A3,Kausisuunnitelma,6,1)</f>
        <v>1</v>
      </c>
      <c r="F1" s="209" t="s">
        <v>209</v>
      </c>
      <c r="G1" s="209"/>
      <c r="H1" s="210" t="s">
        <v>210</v>
      </c>
      <c r="I1" s="211"/>
      <c r="U1" s="56"/>
      <c r="V1" s="56"/>
    </row>
    <row r="2" spans="1:34" ht="30.75" customHeight="1" thickBot="1" x14ac:dyDescent="0.3">
      <c r="A2" s="125" t="s">
        <v>107</v>
      </c>
      <c r="B2" s="128">
        <f>WEEKNUM(A3,21)</f>
        <v>44</v>
      </c>
      <c r="C2" s="130" t="s">
        <v>70</v>
      </c>
      <c r="D2" s="129" t="s">
        <v>71</v>
      </c>
      <c r="E2" s="142" t="s">
        <v>159</v>
      </c>
      <c r="F2" s="121" t="s">
        <v>12</v>
      </c>
      <c r="G2" s="121" t="s">
        <v>13</v>
      </c>
      <c r="H2" s="122" t="s">
        <v>12</v>
      </c>
      <c r="I2" s="123" t="s">
        <v>13</v>
      </c>
      <c r="J2" s="2"/>
      <c r="K2" s="2"/>
      <c r="L2" s="2"/>
      <c r="M2" s="2"/>
      <c r="N2" s="2"/>
      <c r="O2" s="2"/>
      <c r="P2" s="2"/>
      <c r="Q2" s="2"/>
      <c r="R2" s="2"/>
      <c r="S2" s="2"/>
      <c r="T2" s="2" t="s">
        <v>160</v>
      </c>
      <c r="AA2" s="2"/>
      <c r="AB2" s="23"/>
      <c r="AC2" s="23"/>
      <c r="AD2" s="23"/>
      <c r="AE2" s="23"/>
      <c r="AF2" s="23"/>
      <c r="AG2" s="23"/>
      <c r="AH2" s="23"/>
    </row>
    <row r="3" spans="1:34" x14ac:dyDescent="0.25">
      <c r="A3" s="132">
        <v>44130</v>
      </c>
      <c r="B3" s="133">
        <f>A3</f>
        <v>44130</v>
      </c>
      <c r="C3" s="134" t="str">
        <f>VLOOKUP(Y3,Intensiteettikoodi,2,1)</f>
        <v>Lepo</v>
      </c>
      <c r="D3" s="135" t="str">
        <f>IF(Alkukysely!$F$4&gt;1, "Puntti","-")</f>
        <v>-</v>
      </c>
      <c r="E3" s="143">
        <f>IF(E1&gt;0,ROUND(S3*X9,-1),VLOOKUP(Alkukysely!$E$4,Kevytkesto,2,1))</f>
        <v>0</v>
      </c>
      <c r="F3" s="136">
        <f ca="1">VLOOKUP(Y3,Intensiteettikoodi,3,1)*Harjoitusalueet!$C$5</f>
        <v>0</v>
      </c>
      <c r="G3" s="136">
        <f ca="1">VLOOKUP(Y3,Intensiteettikoodi,4,1)*Harjoitusalueet!$C$5</f>
        <v>0</v>
      </c>
      <c r="H3" s="137" t="e">
        <f t="shared" ref="H3:I9" ca="1" si="0">TIME(0,0,((2.8/F3)^(1/3))*500)</f>
        <v>#DIV/0!</v>
      </c>
      <c r="I3" s="138" t="e">
        <f t="shared" ca="1" si="0"/>
        <v>#DIV/0!</v>
      </c>
      <c r="R3" s="119"/>
      <c r="S3" s="51">
        <f>VLOOKUP(Alkukysely!$E$4,Keskikesto,2,1)</f>
        <v>0</v>
      </c>
      <c r="Y3">
        <f>IF(E1&gt;0,VLOOKUP(Alkukysely!$E$4,Intensiteettinumero,2,1),VLOOKUP(Alkukysely!$E$4,Kevytnum,2,1))</f>
        <v>0</v>
      </c>
      <c r="Z3" s="2"/>
      <c r="AB3" s="38"/>
      <c r="AC3" s="38"/>
      <c r="AD3" s="38"/>
      <c r="AE3" s="39"/>
      <c r="AF3" s="39"/>
      <c r="AG3" s="39"/>
      <c r="AH3" s="39"/>
    </row>
    <row r="4" spans="1:34" x14ac:dyDescent="0.25">
      <c r="A4" s="126">
        <f t="shared" ref="A4:A9" si="1">A3+1</f>
        <v>44131</v>
      </c>
      <c r="B4" s="127">
        <f t="shared" ref="B4:B9" si="2">A4</f>
        <v>44131</v>
      </c>
      <c r="C4" s="131" t="str">
        <f>VLOOKUP(Y4,Intensiteettikoodi,2,1)</f>
        <v>Peruskestävyys</v>
      </c>
      <c r="D4" s="120"/>
      <c r="E4" s="144">
        <f>IF(E1&gt;0,ROUND(S4*X9,-1),VLOOKUP(Alkukysely!$E$4,Kevytkesto,3,1))</f>
        <v>30</v>
      </c>
      <c r="F4" s="139">
        <f ca="1">VLOOKUP(Y4,Intensiteettikoodi,3,1)*Harjoitusalueet!$C$5</f>
        <v>0</v>
      </c>
      <c r="G4" s="139">
        <f ca="1">VLOOKUP(Y4,Intensiteettikoodi,4,1)*Harjoitusalueet!$C$5</f>
        <v>0</v>
      </c>
      <c r="H4" s="140" t="e">
        <f t="shared" ca="1" si="0"/>
        <v>#DIV/0!</v>
      </c>
      <c r="I4" s="141" t="e">
        <f t="shared" ca="1" si="0"/>
        <v>#DIV/0!</v>
      </c>
      <c r="R4" s="119"/>
      <c r="S4" s="51">
        <f>VLOOKUP(Alkukysely!$E$4,Keskikesto,3,1)</f>
        <v>50</v>
      </c>
      <c r="Y4">
        <f>IF(E1&gt;0,VLOOKUP(Alkukysely!$E$4,Intensiteettinumero,3,1),VLOOKUP(Alkukysely!$E$4,Kevytnum,3,1))</f>
        <v>2</v>
      </c>
      <c r="AA4" s="2"/>
      <c r="AB4" s="38"/>
      <c r="AC4" s="38"/>
      <c r="AD4" s="38"/>
    </row>
    <row r="5" spans="1:34" x14ac:dyDescent="0.25">
      <c r="A5" s="126">
        <f t="shared" si="1"/>
        <v>44132</v>
      </c>
      <c r="B5" s="127">
        <f t="shared" si="2"/>
        <v>44132</v>
      </c>
      <c r="C5" s="131" t="str">
        <f>IF(Y5=4,T5,VLOOKUP(Y5,Intensiteettikoodi,2,1))</f>
        <v>Peruskestävyys</v>
      </c>
      <c r="D5" s="120"/>
      <c r="E5" s="144">
        <f>IF(E1&gt;0,ROUND(S5*X9,-1),VLOOKUP(Alkukysely!$E$4,Kevytkesto,4,1))</f>
        <v>40</v>
      </c>
      <c r="F5" s="212">
        <f ca="1">IF(Alkukysely!$E$4&gt;1,VLOOKUP('Viikko-ohjelma'!A3,Kovat23,11,1),VLOOKUP(Y5,Intensiteettikoodi,3,1)*Harjoitusalueet!$C$5)</f>
        <v>0</v>
      </c>
      <c r="G5" s="212"/>
      <c r="H5" s="213" t="e">
        <f t="shared" ca="1" si="0"/>
        <v>#DIV/0!</v>
      </c>
      <c r="I5" s="214"/>
      <c r="R5" s="119"/>
      <c r="S5" s="51">
        <f>VLOOKUP(Alkukysely!$E$4,Keskikesto,4,1)</f>
        <v>62.5</v>
      </c>
      <c r="T5" t="str">
        <f>IF(Alkukysely!$E$4&gt;1,VLOOKUP('Viikko-ohjelma'!A3,Kovat23,8,1),C5)</f>
        <v>Peruskestävyys</v>
      </c>
      <c r="Y5">
        <f>IF(E1&gt;0,VLOOKUP(Alkukysely!$E$4,Intensiteettinumero,4,1),VLOOKUP(Alkukysely!$E$4,Kevytnum,4,1))</f>
        <v>2</v>
      </c>
      <c r="AB5" s="38"/>
      <c r="AC5" s="38"/>
      <c r="AD5" s="38"/>
    </row>
    <row r="6" spans="1:34" x14ac:dyDescent="0.25">
      <c r="A6" s="126">
        <f t="shared" si="1"/>
        <v>44133</v>
      </c>
      <c r="B6" s="127">
        <f t="shared" si="2"/>
        <v>44133</v>
      </c>
      <c r="C6" s="131" t="str">
        <f>VLOOKUP(Y6,Intensiteettikoodi,2,1)</f>
        <v>Lepo</v>
      </c>
      <c r="D6" s="120" t="str">
        <f>IF(AND(Alkukysely!$F$4&gt;2,E1&gt;0), "Puntti","-")</f>
        <v>-</v>
      </c>
      <c r="E6" s="144">
        <f>IF(E1&gt;0,ROUND(S6*X9,-1),VLOOKUP(Alkukysely!$E$4,Kevytkesto,5,1))</f>
        <v>0</v>
      </c>
      <c r="F6" s="139">
        <f ca="1">VLOOKUP(Y6,Intensiteettikoodi,3,1)*Harjoitusalueet!$C$5</f>
        <v>0</v>
      </c>
      <c r="G6" s="139">
        <f ca="1">VLOOKUP(Y6,Intensiteettikoodi,4,1)*Harjoitusalueet!$C$5</f>
        <v>0</v>
      </c>
      <c r="H6" s="140" t="e">
        <f t="shared" ca="1" si="0"/>
        <v>#DIV/0!</v>
      </c>
      <c r="I6" s="141" t="e">
        <f t="shared" ca="1" si="0"/>
        <v>#DIV/0!</v>
      </c>
      <c r="R6" s="119"/>
      <c r="S6" s="51">
        <f>VLOOKUP(Alkukysely!$E$4,Keskikesto,5,1)</f>
        <v>0</v>
      </c>
      <c r="X6" s="46"/>
      <c r="Y6">
        <f>IF(E1&gt;0,VLOOKUP(Alkukysely!$E$4,Intensiteettinumero,5,1),VLOOKUP(Alkukysely!$E$4,Kevytnum,5,1))</f>
        <v>0</v>
      </c>
      <c r="AB6" s="38"/>
      <c r="AC6" s="38"/>
      <c r="AD6" s="38"/>
    </row>
    <row r="7" spans="1:34" x14ac:dyDescent="0.25">
      <c r="A7" s="126">
        <f t="shared" si="1"/>
        <v>44134</v>
      </c>
      <c r="B7" s="127">
        <f>A7</f>
        <v>44134</v>
      </c>
      <c r="C7" s="131" t="str">
        <f>VLOOKUP(Y7,Intensiteettikoodi,2,1)</f>
        <v>Lepo</v>
      </c>
      <c r="D7" s="120"/>
      <c r="E7" s="144">
        <f>IF(E1&gt;0,ROUND(S7*X9,-1),VLOOKUP(Alkukysely!$E$4,Kevytkesto,6,1))</f>
        <v>0</v>
      </c>
      <c r="F7" s="139">
        <f ca="1">VLOOKUP(Y7,Intensiteettikoodi,3,1)*Harjoitusalueet!$C$5</f>
        <v>0</v>
      </c>
      <c r="G7" s="139">
        <f ca="1">VLOOKUP(Y7,Intensiteettikoodi,4,1)*Harjoitusalueet!$C$5</f>
        <v>0</v>
      </c>
      <c r="H7" s="140" t="e">
        <f t="shared" ca="1" si="0"/>
        <v>#DIV/0!</v>
      </c>
      <c r="I7" s="141" t="e">
        <f t="shared" ca="1" si="0"/>
        <v>#DIV/0!</v>
      </c>
      <c r="R7" s="119"/>
      <c r="S7" s="51">
        <f>VLOOKUP(Alkukysely!$E$4,Keskikesto,6,1)</f>
        <v>0</v>
      </c>
      <c r="X7" s="46"/>
      <c r="Y7">
        <f>IF(E1&gt;0,VLOOKUP(Alkukysely!$E$4,Intensiteettinumero,6,1),VLOOKUP(Alkukysely!$E$4,Kevytnum,6,1))</f>
        <v>0</v>
      </c>
      <c r="AB7" s="38"/>
      <c r="AC7" s="38"/>
      <c r="AD7" s="38"/>
    </row>
    <row r="8" spans="1:34" x14ac:dyDescent="0.25">
      <c r="A8" s="126">
        <f t="shared" si="1"/>
        <v>44135</v>
      </c>
      <c r="B8" s="127">
        <f t="shared" si="2"/>
        <v>44135</v>
      </c>
      <c r="C8" s="131" t="str">
        <f>IF(Y8=4,T8,VLOOKUP(Y8,Intensiteettikoodi,2,1))</f>
        <v>5 minuutin maksimitesti</v>
      </c>
      <c r="D8" s="120"/>
      <c r="E8" s="144">
        <f>IF(E1&gt;0,ROUND(S8*X9,-1),VLOOKUP(Alkukysely!$E$4,Kevytkesto,7,1))</f>
        <v>40</v>
      </c>
      <c r="F8" s="212">
        <f ca="1">IF(Alkukysely!$E$4&gt;1,VLOOKUP('Viikko-ohjelma'!A3,Kovat23,24,1),VLOOKUP(A3,Kovat1,11,1))</f>
        <v>0</v>
      </c>
      <c r="G8" s="212"/>
      <c r="H8" s="213" t="e">
        <f t="shared" ca="1" si="0"/>
        <v>#DIV/0!</v>
      </c>
      <c r="I8" s="214"/>
      <c r="R8" s="119"/>
      <c r="S8" s="51">
        <f>VLOOKUP(Alkukysely!$E$4,Keskikesto,7,1)</f>
        <v>67.5</v>
      </c>
      <c r="T8" t="str">
        <f>IF(Alkukysely!$E$4&gt;1,VLOOKUP('Viikko-ohjelma'!A3,Kovat23,21,1),VLOOKUP(A3,Kovat1,8,1))</f>
        <v>5 minuutin maksimitesti</v>
      </c>
      <c r="Y8">
        <f>IF(E1&gt;0,VLOOKUP(Alkukysely!$E$4,Intensiteettinumero,7,1),VLOOKUP(Alkukysely!$E$4,Kevytnum,7,1))</f>
        <v>4</v>
      </c>
      <c r="AB8" s="38"/>
      <c r="AC8" s="38"/>
      <c r="AD8" s="38"/>
    </row>
    <row r="9" spans="1:34" x14ac:dyDescent="0.25">
      <c r="A9" s="126">
        <f t="shared" si="1"/>
        <v>44136</v>
      </c>
      <c r="B9" s="127">
        <f t="shared" si="2"/>
        <v>44136</v>
      </c>
      <c r="C9" s="131" t="str">
        <f>VLOOKUP(Y9,Intensiteettikoodi,2,1)</f>
        <v>Pitkä peruskestävyys</v>
      </c>
      <c r="D9" s="120"/>
      <c r="E9" s="144">
        <f>IF(E1&gt;0,ROUND(S9*X9,-1),VLOOKUP(Alkukysely!$E$4,Kevytkesto,8,1))</f>
        <v>70</v>
      </c>
      <c r="F9" s="139">
        <f ca="1">VLOOKUP(Y9,Intensiteettikoodi,3,1)*Harjoitusalueet!$C$5</f>
        <v>0</v>
      </c>
      <c r="G9" s="139">
        <f ca="1">VLOOKUP(Y9,Intensiteettikoodi,4,1)*Harjoitusalueet!$C$5</f>
        <v>0</v>
      </c>
      <c r="H9" s="140" t="e">
        <f t="shared" ca="1" si="0"/>
        <v>#DIV/0!</v>
      </c>
      <c r="I9" s="141" t="e">
        <f t="shared" ca="1" si="0"/>
        <v>#DIV/0!</v>
      </c>
      <c r="R9" s="119"/>
      <c r="S9" s="51">
        <f>VLOOKUP(Alkukysely!$E$4,Keskikesto,8,1)</f>
        <v>120</v>
      </c>
      <c r="V9">
        <f>VLOOKUP(A3,Kausisuunnitelma,7,1)</f>
        <v>3</v>
      </c>
      <c r="W9">
        <f>VLOOKUP(Alkukysely!$E$4,Keskikesto,10)</f>
        <v>5</v>
      </c>
      <c r="X9">
        <f>V9/W9</f>
        <v>0.6</v>
      </c>
      <c r="Y9">
        <f>IF(E1&gt;0,VLOOKUP(Alkukysely!$E$4,Intensiteettinumero,8,1),VLOOKUP(Alkukysely!$E$4,Kevytnum,8,1))</f>
        <v>3</v>
      </c>
      <c r="AB9" s="38"/>
      <c r="AC9" s="38"/>
      <c r="AD9" s="38"/>
    </row>
    <row r="10" spans="1:34" ht="15.75" customHeight="1" x14ac:dyDescent="0.25">
      <c r="A10" s="193" t="s">
        <v>207</v>
      </c>
      <c r="B10" s="194"/>
      <c r="C10" s="194"/>
      <c r="D10" s="194"/>
      <c r="E10" s="194"/>
      <c r="F10" s="195"/>
      <c r="G10" s="196" t="s">
        <v>208</v>
      </c>
      <c r="H10" s="197"/>
      <c r="I10" s="198"/>
      <c r="AF10" s="38"/>
      <c r="AG10" s="38"/>
      <c r="AH10" s="38"/>
    </row>
    <row r="11" spans="1:34" ht="15" customHeight="1" x14ac:dyDescent="0.25">
      <c r="A11" s="180" t="str">
        <f>C5</f>
        <v>Peruskestävyys</v>
      </c>
      <c r="B11" s="181"/>
      <c r="C11" s="181"/>
      <c r="D11" s="181"/>
      <c r="E11" s="181"/>
      <c r="F11" s="202"/>
      <c r="G11" s="199"/>
      <c r="H11" s="200"/>
      <c r="I11" s="201"/>
    </row>
    <row r="12" spans="1:34" ht="25.5" customHeight="1" x14ac:dyDescent="0.25">
      <c r="A12" s="184" t="str">
        <f>IF(Alkukysely!$E$4&gt;1,VLOOKUP(A3,Kovat23,34,1),"-")</f>
        <v>-</v>
      </c>
      <c r="B12" s="184"/>
      <c r="C12" s="184"/>
      <c r="D12" s="184"/>
      <c r="E12" s="184"/>
      <c r="F12" s="203"/>
      <c r="G12" s="183" t="str">
        <f>IF(Alkukysely!$E$4&gt;1,VLOOKUP(A3,Kovat23,35,1),"-")</f>
        <v>-</v>
      </c>
      <c r="H12" s="184"/>
      <c r="I12" s="185"/>
    </row>
    <row r="13" spans="1:34" x14ac:dyDescent="0.25">
      <c r="A13" s="184"/>
      <c r="B13" s="184"/>
      <c r="C13" s="184"/>
      <c r="D13" s="184"/>
      <c r="E13" s="184"/>
      <c r="F13" s="203"/>
      <c r="G13" s="183"/>
      <c r="H13" s="184"/>
      <c r="I13" s="185"/>
    </row>
    <row r="14" spans="1:34" ht="33.75" customHeight="1" thickBot="1" x14ac:dyDescent="0.3">
      <c r="A14" s="204"/>
      <c r="B14" s="204"/>
      <c r="C14" s="204"/>
      <c r="D14" s="204"/>
      <c r="E14" s="204"/>
      <c r="F14" s="205"/>
      <c r="G14" s="206"/>
      <c r="H14" s="207"/>
      <c r="I14" s="208"/>
    </row>
    <row r="15" spans="1:34" ht="15.75" customHeight="1" thickTop="1" thickBot="1" x14ac:dyDescent="0.3">
      <c r="A15" s="180" t="str">
        <f>C8</f>
        <v>5 minuutin maksimitesti</v>
      </c>
      <c r="B15" s="181"/>
      <c r="C15" s="181"/>
      <c r="D15" s="181"/>
      <c r="E15" s="181"/>
      <c r="F15" s="182"/>
      <c r="G15" s="183" t="str">
        <f>IF(Alkukysely!$E$4&gt;1,VLOOKUP(A3,Kovat23,37,1),VLOOKUP(A3,Kovat1,35,1))</f>
        <v>Huolellinen, vähintään 20 minuutin alkulämmittely.</v>
      </c>
      <c r="H15" s="184"/>
      <c r="I15" s="185"/>
    </row>
    <row r="16" spans="1:34" ht="17.25" thickTop="1" thickBot="1" x14ac:dyDescent="0.3">
      <c r="A16" s="189" t="str">
        <f>IF(Alkukysely!$E$4&gt;1,VLOOKUP(A3,Kovat23,36,1),VLOOKUP(A3,Kovat1,34,1))</f>
        <v>Harjoitusalueiden määrittämiseksi ohjelmassa on 5 minuutin maksimitesti. Souda huolellisen alkulämmittelyn jälkeen 5 minuuttia niin kovalla keskivauhdilla kuin pystyt ja kirjaa ylös 5 minuutin keskiteho sekä soudettu matka metreissä. Kirjaa tulokset kuntoseuranta välilehden riville 5.</v>
      </c>
      <c r="B16" s="190"/>
      <c r="C16" s="190"/>
      <c r="D16" s="190"/>
      <c r="E16" s="190"/>
      <c r="F16" s="190"/>
      <c r="G16" s="183"/>
      <c r="H16" s="184"/>
      <c r="I16" s="185"/>
    </row>
    <row r="17" spans="1:25" ht="17.25" thickTop="1" thickBot="1" x14ac:dyDescent="0.3">
      <c r="A17" s="189"/>
      <c r="B17" s="190"/>
      <c r="C17" s="190"/>
      <c r="D17" s="190"/>
      <c r="E17" s="190"/>
      <c r="F17" s="190"/>
      <c r="G17" s="183"/>
      <c r="H17" s="184"/>
      <c r="I17" s="185"/>
    </row>
    <row r="18" spans="1:25" ht="15.75" customHeight="1" thickTop="1" thickBot="1" x14ac:dyDescent="0.3">
      <c r="A18" s="191"/>
      <c r="B18" s="192"/>
      <c r="C18" s="192"/>
      <c r="D18" s="192"/>
      <c r="E18" s="192"/>
      <c r="F18" s="192"/>
      <c r="G18" s="186"/>
      <c r="H18" s="187"/>
      <c r="I18" s="188"/>
    </row>
    <row r="19" spans="1:25" ht="15.75" customHeight="1" x14ac:dyDescent="0.25">
      <c r="A19" s="145" t="str">
        <f>VLOOKUP(A21,Kausisuunnitelma,5,1)</f>
        <v>Kova 2</v>
      </c>
      <c r="B19" s="147" t="s">
        <v>108</v>
      </c>
      <c r="C19" s="146" t="str">
        <f>VLOOKUP(A21,Kausisuunnitelma,3,1)</f>
        <v>Peruskestävyys</v>
      </c>
      <c r="D19" s="124"/>
      <c r="E19" s="147">
        <f>VLOOKUP(A21,Kausisuunnitelma,6,1)</f>
        <v>2</v>
      </c>
      <c r="F19" s="209" t="s">
        <v>209</v>
      </c>
      <c r="G19" s="209"/>
      <c r="H19" s="210" t="s">
        <v>210</v>
      </c>
      <c r="I19" s="211"/>
      <c r="U19" s="118"/>
      <c r="V19" s="118"/>
    </row>
    <row r="20" spans="1:25" ht="48" thickBot="1" x14ac:dyDescent="0.3">
      <c r="A20" s="125" t="s">
        <v>107</v>
      </c>
      <c r="B20" s="128">
        <f>WEEKNUM(A21,21)</f>
        <v>45</v>
      </c>
      <c r="C20" s="130" t="s">
        <v>70</v>
      </c>
      <c r="D20" s="129" t="s">
        <v>71</v>
      </c>
      <c r="E20" s="142" t="s">
        <v>159</v>
      </c>
      <c r="F20" s="121" t="s">
        <v>12</v>
      </c>
      <c r="G20" s="121" t="s">
        <v>13</v>
      </c>
      <c r="H20" s="122" t="s">
        <v>12</v>
      </c>
      <c r="I20" s="123" t="s">
        <v>13</v>
      </c>
      <c r="J20" s="2"/>
      <c r="K20" s="2"/>
      <c r="L20" s="2"/>
      <c r="M20" s="2"/>
      <c r="N20" s="2"/>
      <c r="O20" s="2"/>
      <c r="P20" s="2"/>
      <c r="Q20" s="2"/>
      <c r="R20" s="2"/>
      <c r="S20" s="2"/>
      <c r="T20" s="2" t="s">
        <v>160</v>
      </c>
    </row>
    <row r="21" spans="1:25" x14ac:dyDescent="0.25">
      <c r="A21" s="132">
        <f>A9+1</f>
        <v>44137</v>
      </c>
      <c r="B21" s="133">
        <f t="shared" ref="B21:B27" si="3">A21</f>
        <v>44137</v>
      </c>
      <c r="C21" s="134" t="str">
        <f>VLOOKUP(Y21,Intensiteettikoodi,2,1)</f>
        <v>Lepo</v>
      </c>
      <c r="D21" s="135" t="str">
        <f>IF(Alkukysely!$F$4&gt;1, "Puntti","-")</f>
        <v>-</v>
      </c>
      <c r="E21" s="143">
        <f>IF(E19&gt;0,ROUND(S21*X27,-1),VLOOKUP(Alkukysely!$E$4,Kevytkesto,2,1))</f>
        <v>0</v>
      </c>
      <c r="F21" s="136">
        <f ca="1">VLOOKUP(Y21,Intensiteettikoodi,3,1)*Harjoitusalueet!$C$5</f>
        <v>0</v>
      </c>
      <c r="G21" s="136">
        <f ca="1">VLOOKUP(Y21,Intensiteettikoodi,4,1)*Harjoitusalueet!$C$5</f>
        <v>0</v>
      </c>
      <c r="H21" s="137" t="e">
        <f t="shared" ref="H21:H27" ca="1" si="4">TIME(0,0,((2.8/F21)^(1/3))*500)</f>
        <v>#DIV/0!</v>
      </c>
      <c r="I21" s="138" t="e">
        <f ca="1">TIME(0,0,((2.8/G21)^(1/3))*500)</f>
        <v>#DIV/0!</v>
      </c>
      <c r="R21" s="119"/>
      <c r="S21" s="51">
        <f>VLOOKUP(Alkukysely!$E$4,Keskikesto,2,1)</f>
        <v>0</v>
      </c>
      <c r="Y21">
        <f>IF(E19&gt;0,VLOOKUP(Alkukysely!$E$4,Intensiteettinumero,2,1),VLOOKUP(Alkukysely!$E$4,Kevytnum,2,1))</f>
        <v>0</v>
      </c>
    </row>
    <row r="22" spans="1:25" ht="15.95" customHeight="1" x14ac:dyDescent="0.25">
      <c r="A22" s="126">
        <f t="shared" ref="A22:A27" si="5">A21+1</f>
        <v>44138</v>
      </c>
      <c r="B22" s="127">
        <f t="shared" si="3"/>
        <v>44138</v>
      </c>
      <c r="C22" s="131" t="str">
        <f>VLOOKUP(Y22,Intensiteettikoodi,2,1)</f>
        <v>Peruskestävyys</v>
      </c>
      <c r="D22" s="120"/>
      <c r="E22" s="144">
        <f>IF(E19&gt;0,ROUND(S22*X27,-1),VLOOKUP(Alkukysely!$E$4,Kevytkesto,3,1))</f>
        <v>40</v>
      </c>
      <c r="F22" s="139">
        <f ca="1">VLOOKUP(Y22,Intensiteettikoodi,3,1)*Harjoitusalueet!$C$5</f>
        <v>0</v>
      </c>
      <c r="G22" s="139">
        <f ca="1">VLOOKUP(Y22,Intensiteettikoodi,4,1)*Harjoitusalueet!$C$5</f>
        <v>0</v>
      </c>
      <c r="H22" s="140" t="e">
        <f t="shared" ca="1" si="4"/>
        <v>#DIV/0!</v>
      </c>
      <c r="I22" s="141" t="e">
        <f ca="1">TIME(0,0,((2.8/G22)^(1/3))*500)</f>
        <v>#DIV/0!</v>
      </c>
      <c r="R22" s="119"/>
      <c r="S22" s="51">
        <f>VLOOKUP(Alkukysely!$E$4,Keskikesto,3,1)</f>
        <v>50</v>
      </c>
      <c r="Y22">
        <f>IF(E19&gt;0,VLOOKUP(Alkukysely!$E$4,Intensiteettinumero,3,1),VLOOKUP(Alkukysely!$E$4,Kevytnum,3,1))</f>
        <v>2</v>
      </c>
    </row>
    <row r="23" spans="1:25" x14ac:dyDescent="0.25">
      <c r="A23" s="126">
        <f t="shared" si="5"/>
        <v>44139</v>
      </c>
      <c r="B23" s="127">
        <f t="shared" si="3"/>
        <v>44139</v>
      </c>
      <c r="C23" s="131" t="str">
        <f>IF(Y23=4,T23,VLOOKUP(Y23,Intensiteettikoodi,2,1))</f>
        <v>Peruskestävyys</v>
      </c>
      <c r="D23" s="120"/>
      <c r="E23" s="144">
        <f>IF(E19&gt;0,ROUND(S23*X27,-1),VLOOKUP(Alkukysely!$E$4,Kevytkesto,4,1))</f>
        <v>50</v>
      </c>
      <c r="F23" s="212">
        <f ca="1">IF(Alkukysely!$E$4&gt;1,VLOOKUP('Viikko-ohjelma'!A21,Kovat23,11,1),VLOOKUP(Y23,Intensiteettikoodi,3,1)*Harjoitusalueet!$C$5)</f>
        <v>0</v>
      </c>
      <c r="G23" s="212"/>
      <c r="H23" s="213" t="e">
        <f t="shared" ca="1" si="4"/>
        <v>#DIV/0!</v>
      </c>
      <c r="I23" s="214"/>
      <c r="R23" s="119"/>
      <c r="S23" s="51">
        <f>VLOOKUP(Alkukysely!$E$4,Keskikesto,4,1)</f>
        <v>62.5</v>
      </c>
      <c r="T23" t="str">
        <f>IF(Alkukysely!$E$4&gt;1,VLOOKUP('Viikko-ohjelma'!A21,Kovat23,8,1),C23)</f>
        <v>Peruskestävyys</v>
      </c>
      <c r="Y23">
        <f>IF(E19&gt;0,VLOOKUP(Alkukysely!$E$4,Intensiteettinumero,4,1),VLOOKUP(Alkukysely!$E$4,Kevytnum,4,1))</f>
        <v>2</v>
      </c>
    </row>
    <row r="24" spans="1:25" x14ac:dyDescent="0.25">
      <c r="A24" s="126">
        <f t="shared" si="5"/>
        <v>44140</v>
      </c>
      <c r="B24" s="127">
        <f t="shared" si="3"/>
        <v>44140</v>
      </c>
      <c r="C24" s="131" t="str">
        <f>VLOOKUP(Y24,Intensiteettikoodi,2,1)</f>
        <v>Lepo</v>
      </c>
      <c r="D24" s="120" t="str">
        <f>IF(AND(Alkukysely!$F$4&gt;2,E19&gt;0), "Puntti","-")</f>
        <v>-</v>
      </c>
      <c r="E24" s="144">
        <f>IF(E19&gt;0,ROUND(S24*X27,-1),VLOOKUP(Alkukysely!$E$4,Kevytkesto,5,1))</f>
        <v>0</v>
      </c>
      <c r="F24" s="139">
        <f ca="1">VLOOKUP(Y24,Intensiteettikoodi,3,1)*Harjoitusalueet!$C$5</f>
        <v>0</v>
      </c>
      <c r="G24" s="139">
        <f ca="1">VLOOKUP(Y24,Intensiteettikoodi,4,1)*Harjoitusalueet!$C$5</f>
        <v>0</v>
      </c>
      <c r="H24" s="140" t="e">
        <f t="shared" ca="1" si="4"/>
        <v>#DIV/0!</v>
      </c>
      <c r="I24" s="141" t="e">
        <f ca="1">TIME(0,0,((2.8/G24)^(1/3))*500)</f>
        <v>#DIV/0!</v>
      </c>
      <c r="R24" s="119"/>
      <c r="S24" s="51">
        <f>VLOOKUP(Alkukysely!$E$4,Keskikesto,5,1)</f>
        <v>0</v>
      </c>
      <c r="X24" s="46"/>
      <c r="Y24">
        <f>IF(E19&gt;0,VLOOKUP(Alkukysely!$E$4,Intensiteettinumero,5,1),VLOOKUP(Alkukysely!$E$4,Kevytnum,5,1))</f>
        <v>0</v>
      </c>
    </row>
    <row r="25" spans="1:25" x14ac:dyDescent="0.25">
      <c r="A25" s="126">
        <f t="shared" si="5"/>
        <v>44141</v>
      </c>
      <c r="B25" s="127">
        <f t="shared" si="3"/>
        <v>44141</v>
      </c>
      <c r="C25" s="131" t="str">
        <f>VLOOKUP(Y25,Intensiteettikoodi,2,1)</f>
        <v>Lepo</v>
      </c>
      <c r="D25" s="120"/>
      <c r="E25" s="144">
        <f>IF(E19&gt;0,ROUND(S25*X27,-1),VLOOKUP(Alkukysely!$E$4,Kevytkesto,6,1))</f>
        <v>0</v>
      </c>
      <c r="F25" s="139">
        <f ca="1">VLOOKUP(Y25,Intensiteettikoodi,3,1)*Harjoitusalueet!$C$5</f>
        <v>0</v>
      </c>
      <c r="G25" s="139">
        <f ca="1">VLOOKUP(Y25,Intensiteettikoodi,4,1)*Harjoitusalueet!$C$5</f>
        <v>0</v>
      </c>
      <c r="H25" s="140" t="e">
        <f t="shared" ca="1" si="4"/>
        <v>#DIV/0!</v>
      </c>
      <c r="I25" s="141" t="e">
        <f ca="1">TIME(0,0,((2.8/G25)^(1/3))*500)</f>
        <v>#DIV/0!</v>
      </c>
      <c r="R25" s="119"/>
      <c r="S25" s="51">
        <f>VLOOKUP(Alkukysely!$E$4,Keskikesto,6,1)</f>
        <v>0</v>
      </c>
      <c r="X25" s="46"/>
      <c r="Y25">
        <f>IF(E19&gt;0,VLOOKUP(Alkukysely!$E$4,Intensiteettinumero,6,1),VLOOKUP(Alkukysely!$E$4,Kevytnum,6,1))</f>
        <v>0</v>
      </c>
    </row>
    <row r="26" spans="1:25" x14ac:dyDescent="0.25">
      <c r="A26" s="126">
        <f t="shared" si="5"/>
        <v>44142</v>
      </c>
      <c r="B26" s="127">
        <f t="shared" si="3"/>
        <v>44142</v>
      </c>
      <c r="C26" s="131" t="str">
        <f>IF(Y26=4,T26,VLOOKUP(Y26,Intensiteettikoodi,2,1))</f>
        <v>20 minuutin maksimitesti</v>
      </c>
      <c r="D26" s="120"/>
      <c r="E26" s="144">
        <f>IF(E19&gt;0,ROUND(S26*X27,-1),VLOOKUP(Alkukysely!$E$4,Kevytkesto,7,1))</f>
        <v>50</v>
      </c>
      <c r="F26" s="212">
        <f ca="1">IF(Alkukysely!$E$4&gt;1,VLOOKUP('Viikko-ohjelma'!A21,Kovat23,24,1),VLOOKUP(A21,Kovat1,11,1))</f>
        <v>0</v>
      </c>
      <c r="G26" s="212"/>
      <c r="H26" s="213" t="e">
        <f t="shared" ca="1" si="4"/>
        <v>#DIV/0!</v>
      </c>
      <c r="I26" s="214"/>
      <c r="R26" s="119"/>
      <c r="S26" s="51">
        <f>VLOOKUP(Alkukysely!$E$4,Keskikesto,7,1)</f>
        <v>67.5</v>
      </c>
      <c r="T26" t="str">
        <f>IF(Alkukysely!$E$4&gt;1,VLOOKUP('Viikko-ohjelma'!A21,Kovat23,21,1),VLOOKUP(A21,Kovat1,8,1))</f>
        <v>20 minuutin maksimitesti</v>
      </c>
      <c r="Y26">
        <f>IF(E19&gt;0,VLOOKUP(Alkukysely!$E$4,Intensiteettinumero,7,1),VLOOKUP(Alkukysely!$E$4,Kevytnum,7,1))</f>
        <v>4</v>
      </c>
    </row>
    <row r="27" spans="1:25" x14ac:dyDescent="0.25">
      <c r="A27" s="126">
        <f t="shared" si="5"/>
        <v>44143</v>
      </c>
      <c r="B27" s="127">
        <f t="shared" si="3"/>
        <v>44143</v>
      </c>
      <c r="C27" s="131" t="str">
        <f>VLOOKUP(Y27,Intensiteettikoodi,2,1)</f>
        <v>Pitkä peruskestävyys</v>
      </c>
      <c r="D27" s="120"/>
      <c r="E27" s="144">
        <f>IF(E19&gt;0,ROUND(S27*X27,-1),VLOOKUP(Alkukysely!$E$4,Kevytkesto,8,1))</f>
        <v>100</v>
      </c>
      <c r="F27" s="139">
        <f ca="1">VLOOKUP(Y27,Intensiteettikoodi,3,1)*Harjoitusalueet!$C$5</f>
        <v>0</v>
      </c>
      <c r="G27" s="139">
        <f ca="1">VLOOKUP(Y27,Intensiteettikoodi,4,1)*Harjoitusalueet!$C$5</f>
        <v>0</v>
      </c>
      <c r="H27" s="140" t="e">
        <f t="shared" ca="1" si="4"/>
        <v>#DIV/0!</v>
      </c>
      <c r="I27" s="141" t="e">
        <f ca="1">TIME(0,0,((2.8/G27)^(1/3))*500)</f>
        <v>#DIV/0!</v>
      </c>
      <c r="R27" s="119"/>
      <c r="S27" s="51">
        <f>VLOOKUP(Alkukysely!$E$4,Keskikesto,8,1)</f>
        <v>120</v>
      </c>
      <c r="V27">
        <f>VLOOKUP(A21,Kausisuunnitelma,7,1)</f>
        <v>4</v>
      </c>
      <c r="W27">
        <f>VLOOKUP(Alkukysely!$E$4,Keskikesto,10)</f>
        <v>5</v>
      </c>
      <c r="X27">
        <f>V27/W27</f>
        <v>0.8</v>
      </c>
      <c r="Y27">
        <f>IF(E19&gt;0,VLOOKUP(Alkukysely!$E$4,Intensiteettinumero,8,1),VLOOKUP(Alkukysely!$E$4,Kevytnum,8,1))</f>
        <v>3</v>
      </c>
    </row>
    <row r="28" spans="1:25" ht="15.75" customHeight="1" x14ac:dyDescent="0.25">
      <c r="A28" s="193" t="s">
        <v>207</v>
      </c>
      <c r="B28" s="194"/>
      <c r="C28" s="194"/>
      <c r="D28" s="194"/>
      <c r="E28" s="194"/>
      <c r="F28" s="195"/>
      <c r="G28" s="196" t="s">
        <v>208</v>
      </c>
      <c r="H28" s="197"/>
      <c r="I28" s="198"/>
    </row>
    <row r="29" spans="1:25" x14ac:dyDescent="0.25">
      <c r="A29" s="180" t="str">
        <f>C23</f>
        <v>Peruskestävyys</v>
      </c>
      <c r="B29" s="181"/>
      <c r="C29" s="181"/>
      <c r="D29" s="181"/>
      <c r="E29" s="181"/>
      <c r="F29" s="202"/>
      <c r="G29" s="199"/>
      <c r="H29" s="200"/>
      <c r="I29" s="201"/>
    </row>
    <row r="30" spans="1:25" ht="15.75" customHeight="1" x14ac:dyDescent="0.25">
      <c r="A30" s="184" t="str">
        <f>IF(Alkukysely!$E$4&gt;1,VLOOKUP(A21,Kovat23,34,1),"-")</f>
        <v>-</v>
      </c>
      <c r="B30" s="184"/>
      <c r="C30" s="184"/>
      <c r="D30" s="184"/>
      <c r="E30" s="184"/>
      <c r="F30" s="203"/>
      <c r="G30" s="183" t="str">
        <f>IF(Alkukysely!$E$4&gt;1,VLOOKUP(A21,Kovat23,35,1),"-")</f>
        <v>-</v>
      </c>
      <c r="H30" s="184"/>
      <c r="I30" s="185"/>
    </row>
    <row r="31" spans="1:25" ht="15.75" customHeight="1" x14ac:dyDescent="0.25">
      <c r="A31" s="184"/>
      <c r="B31" s="184"/>
      <c r="C31" s="184"/>
      <c r="D31" s="184"/>
      <c r="E31" s="184"/>
      <c r="F31" s="203"/>
      <c r="G31" s="183"/>
      <c r="H31" s="184"/>
      <c r="I31" s="185"/>
    </row>
    <row r="32" spans="1:25" ht="97.5" customHeight="1" thickBot="1" x14ac:dyDescent="0.3">
      <c r="A32" s="204"/>
      <c r="B32" s="204"/>
      <c r="C32" s="204"/>
      <c r="D32" s="204"/>
      <c r="E32" s="204"/>
      <c r="F32" s="205"/>
      <c r="G32" s="206"/>
      <c r="H32" s="207"/>
      <c r="I32" s="208"/>
    </row>
    <row r="33" spans="1:25" ht="15.75" customHeight="1" thickTop="1" thickBot="1" x14ac:dyDescent="0.3">
      <c r="A33" s="180" t="str">
        <f>C26</f>
        <v>20 minuutin maksimitesti</v>
      </c>
      <c r="B33" s="181"/>
      <c r="C33" s="181"/>
      <c r="D33" s="181"/>
      <c r="E33" s="181"/>
      <c r="F33" s="182"/>
      <c r="G33" s="183">
        <f>IF(Alkukysely!$E$4&gt;1,VLOOKUP(A21,Kovat23,37,1),VLOOKUP(A21,Kovat1,35,1))</f>
        <v>0</v>
      </c>
      <c r="H33" s="184"/>
      <c r="I33" s="185"/>
    </row>
    <row r="34" spans="1:25" ht="15.75" customHeight="1" thickTop="1" thickBot="1" x14ac:dyDescent="0.3">
      <c r="A34" s="189" t="str">
        <f>IF(Alkukysely!$E$4&gt;1,VLOOKUP(A21,Kovat23,36,1),VLOOKUP(A21,Kovat1,34,1))</f>
        <v>Harjoitusalueiden määrittämiseksi ohjelmassa on 20 minuutin maksimitesti. Souda huolellisen alkulämmittelyn jälkeen 20 minuuttia niin kovalla keskivauhdilla kuin pystyt ja kirjaa ylös 5 minuutin keskiteho sekä soudettu matka metreissä. Kirjaa tulokset kuntoseuranta välilehden riville 5.</v>
      </c>
      <c r="B34" s="190"/>
      <c r="C34" s="190"/>
      <c r="D34" s="190"/>
      <c r="E34" s="190"/>
      <c r="F34" s="190"/>
      <c r="G34" s="183"/>
      <c r="H34" s="184"/>
      <c r="I34" s="185"/>
    </row>
    <row r="35" spans="1:25" ht="17.25" thickTop="1" thickBot="1" x14ac:dyDescent="0.3">
      <c r="A35" s="189"/>
      <c r="B35" s="190"/>
      <c r="C35" s="190"/>
      <c r="D35" s="190"/>
      <c r="E35" s="190"/>
      <c r="F35" s="190"/>
      <c r="G35" s="183"/>
      <c r="H35" s="184"/>
      <c r="I35" s="185"/>
    </row>
    <row r="36" spans="1:25" ht="61.5" customHeight="1" thickTop="1" thickBot="1" x14ac:dyDescent="0.3">
      <c r="A36" s="191"/>
      <c r="B36" s="192"/>
      <c r="C36" s="192"/>
      <c r="D36" s="192"/>
      <c r="E36" s="192"/>
      <c r="F36" s="192"/>
      <c r="G36" s="186"/>
      <c r="H36" s="187"/>
      <c r="I36" s="188"/>
    </row>
    <row r="37" spans="1:25" x14ac:dyDescent="0.25">
      <c r="A37" s="145" t="str">
        <f>VLOOKUP(A39,Kausisuunnitelma,5,1)</f>
        <v>Kova 3</v>
      </c>
      <c r="B37" s="147" t="s">
        <v>108</v>
      </c>
      <c r="C37" s="146" t="str">
        <f>VLOOKUP(A39,Kausisuunnitelma,3,1)</f>
        <v>Peruskestävyys</v>
      </c>
      <c r="D37" s="124"/>
      <c r="E37" s="147">
        <f>VLOOKUP(A39,Kausisuunnitelma,6,1)</f>
        <v>3</v>
      </c>
      <c r="F37" s="209" t="s">
        <v>209</v>
      </c>
      <c r="G37" s="209"/>
      <c r="H37" s="210" t="s">
        <v>210</v>
      </c>
      <c r="I37" s="211"/>
      <c r="U37" s="118"/>
      <c r="V37" s="118"/>
    </row>
    <row r="38" spans="1:25" ht="48" thickBot="1" x14ac:dyDescent="0.3">
      <c r="A38" s="125" t="s">
        <v>107</v>
      </c>
      <c r="B38" s="128">
        <f>WEEKNUM(A39,21)</f>
        <v>46</v>
      </c>
      <c r="C38" s="130" t="s">
        <v>70</v>
      </c>
      <c r="D38" s="129" t="s">
        <v>71</v>
      </c>
      <c r="E38" s="142" t="s">
        <v>159</v>
      </c>
      <c r="F38" s="121" t="s">
        <v>12</v>
      </c>
      <c r="G38" s="121" t="s">
        <v>13</v>
      </c>
      <c r="H38" s="122" t="s">
        <v>12</v>
      </c>
      <c r="I38" s="123" t="s">
        <v>13</v>
      </c>
      <c r="J38" s="2"/>
      <c r="K38" s="2"/>
      <c r="L38" s="2"/>
      <c r="M38" s="2"/>
      <c r="N38" s="2"/>
      <c r="O38" s="2"/>
      <c r="P38" s="2"/>
      <c r="Q38" s="2"/>
      <c r="R38" s="2"/>
      <c r="S38" s="2"/>
      <c r="T38" s="2" t="s">
        <v>160</v>
      </c>
    </row>
    <row r="39" spans="1:25" x14ac:dyDescent="0.25">
      <c r="A39" s="132">
        <f>A27+1</f>
        <v>44144</v>
      </c>
      <c r="B39" s="133">
        <f t="shared" ref="B39:B45" si="6">A39</f>
        <v>44144</v>
      </c>
      <c r="C39" s="134" t="str">
        <f>VLOOKUP(Y39,Intensiteettikoodi,2,1)</f>
        <v>Lepo</v>
      </c>
      <c r="D39" s="135" t="str">
        <f>IF(Alkukysely!$F$4&gt;1, "Puntti","-")</f>
        <v>-</v>
      </c>
      <c r="E39" s="143">
        <f>IF(E37&gt;0,ROUND(S39*X45,-1),VLOOKUP(Alkukysely!$E$4,Kevytkesto,2,1))</f>
        <v>0</v>
      </c>
      <c r="F39" s="136">
        <f ca="1">VLOOKUP(Y39,Intensiteettikoodi,3,1)*Harjoitusalueet!$C$5</f>
        <v>0</v>
      </c>
      <c r="G39" s="136">
        <f ca="1">VLOOKUP(Y39,Intensiteettikoodi,4,1)*Harjoitusalueet!$C$5</f>
        <v>0</v>
      </c>
      <c r="H39" s="137" t="e">
        <f t="shared" ref="H39:H45" ca="1" si="7">TIME(0,0,((2.8/F39)^(1/3))*500)</f>
        <v>#DIV/0!</v>
      </c>
      <c r="I39" s="138" t="e">
        <f ca="1">TIME(0,0,((2.8/G39)^(1/3))*500)</f>
        <v>#DIV/0!</v>
      </c>
      <c r="R39" s="119"/>
      <c r="S39" s="51">
        <f>VLOOKUP(Alkukysely!$E$4,Keskikesto,2,1)</f>
        <v>0</v>
      </c>
      <c r="Y39">
        <f>IF(E37&gt;0,VLOOKUP(Alkukysely!$E$4,Intensiteettinumero,2,1),VLOOKUP(Alkukysely!$E$4,Kevytnum,2,1))</f>
        <v>0</v>
      </c>
    </row>
    <row r="40" spans="1:25" x14ac:dyDescent="0.25">
      <c r="A40" s="126">
        <f t="shared" ref="A40:A45" si="8">A39+1</f>
        <v>44145</v>
      </c>
      <c r="B40" s="127">
        <f t="shared" si="6"/>
        <v>44145</v>
      </c>
      <c r="C40" s="131" t="str">
        <f>VLOOKUP(Y40,Intensiteettikoodi,2,1)</f>
        <v>Peruskestävyys</v>
      </c>
      <c r="D40" s="120"/>
      <c r="E40" s="144">
        <f>IF(E37&gt;0,ROUND(S40*X45,-1),VLOOKUP(Alkukysely!$E$4,Kevytkesto,3,1))</f>
        <v>60</v>
      </c>
      <c r="F40" s="139">
        <f ca="1">VLOOKUP(Y40,Intensiteettikoodi,3,1)*Harjoitusalueet!$C$5</f>
        <v>0</v>
      </c>
      <c r="G40" s="139">
        <f ca="1">VLOOKUP(Y40,Intensiteettikoodi,4,1)*Harjoitusalueet!$C$5</f>
        <v>0</v>
      </c>
      <c r="H40" s="140" t="e">
        <f t="shared" ca="1" si="7"/>
        <v>#DIV/0!</v>
      </c>
      <c r="I40" s="141" t="e">
        <f ca="1">TIME(0,0,((2.8/G40)^(1/3))*500)</f>
        <v>#DIV/0!</v>
      </c>
      <c r="R40" s="119"/>
      <c r="S40" s="51">
        <f>VLOOKUP(Alkukysely!$E$4,Keskikesto,3,1)</f>
        <v>50</v>
      </c>
      <c r="Y40">
        <f>IF(E37&gt;0,VLOOKUP(Alkukysely!$E$4,Intensiteettinumero,3,1),VLOOKUP(Alkukysely!$E$4,Kevytnum,3,1))</f>
        <v>2</v>
      </c>
    </row>
    <row r="41" spans="1:25" x14ac:dyDescent="0.25">
      <c r="A41" s="126">
        <f t="shared" si="8"/>
        <v>44146</v>
      </c>
      <c r="B41" s="127">
        <f t="shared" si="6"/>
        <v>44146</v>
      </c>
      <c r="C41" s="131" t="str">
        <f>IF(Y41=4,T41,VLOOKUP(Y41,Intensiteettikoodi,2,1))</f>
        <v>Peruskestävyys</v>
      </c>
      <c r="D41" s="120"/>
      <c r="E41" s="144">
        <f>IF(E37&gt;0,ROUND(S41*X45,-1),VLOOKUP(Alkukysely!$E$4,Kevytkesto,4,1))</f>
        <v>80</v>
      </c>
      <c r="F41" s="212">
        <f ca="1">IF(Alkukysely!$E$4&gt;1,VLOOKUP('Viikko-ohjelma'!A39,Kovat23,11,1),VLOOKUP(Y41,Intensiteettikoodi,3,1)*Harjoitusalueet!$C$5)</f>
        <v>0</v>
      </c>
      <c r="G41" s="212"/>
      <c r="H41" s="213" t="e">
        <f t="shared" ca="1" si="7"/>
        <v>#DIV/0!</v>
      </c>
      <c r="I41" s="214"/>
      <c r="R41" s="119"/>
      <c r="S41" s="51">
        <f>VLOOKUP(Alkukysely!$E$4,Keskikesto,4,1)</f>
        <v>62.5</v>
      </c>
      <c r="T41" t="str">
        <f>IF(Alkukysely!$E$4&gt;1,VLOOKUP('Viikko-ohjelma'!A39,Kovat23,8,1),C41)</f>
        <v>Peruskestävyys</v>
      </c>
      <c r="Y41">
        <f>IF(E37&gt;0,VLOOKUP(Alkukysely!$E$4,Intensiteettinumero,4,1),VLOOKUP(Alkukysely!$E$4,Kevytnum,4,1))</f>
        <v>2</v>
      </c>
    </row>
    <row r="42" spans="1:25" x14ac:dyDescent="0.25">
      <c r="A42" s="126">
        <f t="shared" si="8"/>
        <v>44147</v>
      </c>
      <c r="B42" s="127">
        <f t="shared" si="6"/>
        <v>44147</v>
      </c>
      <c r="C42" s="131" t="str">
        <f>VLOOKUP(Y42,Intensiteettikoodi,2,1)</f>
        <v>Lepo</v>
      </c>
      <c r="D42" s="120" t="str">
        <f>IF(AND(Alkukysely!$F$4&gt;2,E37&gt;0), "Puntti","-")</f>
        <v>-</v>
      </c>
      <c r="E42" s="144">
        <f>IF(E37&gt;0,ROUND(S42*X45,-1),VLOOKUP(Alkukysely!$E$4,Kevytkesto,5,1))</f>
        <v>0</v>
      </c>
      <c r="F42" s="139">
        <f ca="1">VLOOKUP(Y42,Intensiteettikoodi,3,1)*Harjoitusalueet!$C$5</f>
        <v>0</v>
      </c>
      <c r="G42" s="139">
        <f ca="1">VLOOKUP(Y42,Intensiteettikoodi,4,1)*Harjoitusalueet!$C$5</f>
        <v>0</v>
      </c>
      <c r="H42" s="140" t="e">
        <f t="shared" ca="1" si="7"/>
        <v>#DIV/0!</v>
      </c>
      <c r="I42" s="141" t="e">
        <f ca="1">TIME(0,0,((2.8/G42)^(1/3))*500)</f>
        <v>#DIV/0!</v>
      </c>
      <c r="R42" s="119"/>
      <c r="S42" s="51">
        <f>VLOOKUP(Alkukysely!$E$4,Keskikesto,5,1)</f>
        <v>0</v>
      </c>
      <c r="X42" s="46"/>
      <c r="Y42">
        <f>IF(E37&gt;0,VLOOKUP(Alkukysely!$E$4,Intensiteettinumero,5,1),VLOOKUP(Alkukysely!$E$4,Kevytnum,5,1))</f>
        <v>0</v>
      </c>
    </row>
    <row r="43" spans="1:25" x14ac:dyDescent="0.25">
      <c r="A43" s="126">
        <f t="shared" si="8"/>
        <v>44148</v>
      </c>
      <c r="B43" s="127">
        <f t="shared" si="6"/>
        <v>44148</v>
      </c>
      <c r="C43" s="131" t="str">
        <f>VLOOKUP(Y43,Intensiteettikoodi,2,1)</f>
        <v>Lepo</v>
      </c>
      <c r="D43" s="120"/>
      <c r="E43" s="144">
        <f>IF(E37&gt;0,ROUND(S43*X45,-1),VLOOKUP(Alkukysely!$E$4,Kevytkesto,6,1))</f>
        <v>0</v>
      </c>
      <c r="F43" s="139">
        <f ca="1">VLOOKUP(Y43,Intensiteettikoodi,3,1)*Harjoitusalueet!$C$5</f>
        <v>0</v>
      </c>
      <c r="G43" s="139">
        <f ca="1">VLOOKUP(Y43,Intensiteettikoodi,4,1)*Harjoitusalueet!$C$5</f>
        <v>0</v>
      </c>
      <c r="H43" s="140" t="e">
        <f t="shared" ca="1" si="7"/>
        <v>#DIV/0!</v>
      </c>
      <c r="I43" s="141" t="e">
        <f ca="1">TIME(0,0,((2.8/G43)^(1/3))*500)</f>
        <v>#DIV/0!</v>
      </c>
      <c r="R43" s="119"/>
      <c r="S43" s="51">
        <f>VLOOKUP(Alkukysely!$E$4,Keskikesto,6,1)</f>
        <v>0</v>
      </c>
      <c r="X43" s="46"/>
      <c r="Y43">
        <f>IF(E37&gt;0,VLOOKUP(Alkukysely!$E$4,Intensiteettinumero,6,1),VLOOKUP(Alkukysely!$E$4,Kevytnum,6,1))</f>
        <v>0</v>
      </c>
    </row>
    <row r="44" spans="1:25" x14ac:dyDescent="0.25">
      <c r="A44" s="126">
        <f t="shared" si="8"/>
        <v>44149</v>
      </c>
      <c r="B44" s="127">
        <f t="shared" si="6"/>
        <v>44149</v>
      </c>
      <c r="C44" s="131" t="str">
        <f>IF(Y44=4,T44,VLOOKUP(Y44,Intensiteettikoodi,2,1))</f>
        <v>3*10min/2min</v>
      </c>
      <c r="D44" s="120"/>
      <c r="E44" s="144">
        <f>IF(E37&gt;0,ROUND(S44*X45,-1),VLOOKUP(Alkukysely!$E$4,Kevytkesto,7,1))</f>
        <v>80</v>
      </c>
      <c r="F44" s="212">
        <f ca="1">IF(Alkukysely!$E$4&gt;1,VLOOKUP('Viikko-ohjelma'!A39,Kovat23,24,1),VLOOKUP(A39,Kovat1,11,1))</f>
        <v>0</v>
      </c>
      <c r="G44" s="212"/>
      <c r="H44" s="213" t="e">
        <f t="shared" ca="1" si="7"/>
        <v>#DIV/0!</v>
      </c>
      <c r="I44" s="214"/>
      <c r="R44" s="119"/>
      <c r="S44" s="51">
        <f>VLOOKUP(Alkukysely!$E$4,Keskikesto,7,1)</f>
        <v>67.5</v>
      </c>
      <c r="T44" t="str">
        <f>IF(Alkukysely!$E$4&gt;1,VLOOKUP('Viikko-ohjelma'!A39,Kovat23,21,1),VLOOKUP(A39,Kovat1,8,1))</f>
        <v>3*10min/2min</v>
      </c>
      <c r="Y44">
        <f>IF(E37&gt;0,VLOOKUP(Alkukysely!$E$4,Intensiteettinumero,7,1),VLOOKUP(Alkukysely!$E$4,Kevytnum,7,1))</f>
        <v>4</v>
      </c>
    </row>
    <row r="45" spans="1:25" x14ac:dyDescent="0.25">
      <c r="A45" s="126">
        <f t="shared" si="8"/>
        <v>44150</v>
      </c>
      <c r="B45" s="127">
        <f t="shared" si="6"/>
        <v>44150</v>
      </c>
      <c r="C45" s="131" t="str">
        <f>VLOOKUP(Y45,Intensiteettikoodi,2,1)</f>
        <v>Pitkä peruskestävyys</v>
      </c>
      <c r="D45" s="120"/>
      <c r="E45" s="144">
        <f>IF(E37&gt;0,ROUND(S45*X45,-1),VLOOKUP(Alkukysely!$E$4,Kevytkesto,8,1))</f>
        <v>140</v>
      </c>
      <c r="F45" s="139">
        <f ca="1">VLOOKUP(Y45,Intensiteettikoodi,3,1)*Harjoitusalueet!$C$5</f>
        <v>0</v>
      </c>
      <c r="G45" s="139">
        <f ca="1">VLOOKUP(Y45,Intensiteettikoodi,4,1)*Harjoitusalueet!$C$5</f>
        <v>0</v>
      </c>
      <c r="H45" s="140" t="e">
        <f t="shared" ca="1" si="7"/>
        <v>#DIV/0!</v>
      </c>
      <c r="I45" s="141" t="e">
        <f ca="1">TIME(0,0,((2.8/G45)^(1/3))*500)</f>
        <v>#DIV/0!</v>
      </c>
      <c r="R45" s="119"/>
      <c r="S45" s="51">
        <f>VLOOKUP(Alkukysely!$E$4,Keskikesto,8,1)</f>
        <v>120</v>
      </c>
      <c r="V45">
        <f>VLOOKUP(A39,Kausisuunnitelma,7,1)</f>
        <v>6</v>
      </c>
      <c r="W45">
        <f>VLOOKUP(Alkukysely!$E$4,Keskikesto,10)</f>
        <v>5</v>
      </c>
      <c r="X45">
        <f>V45/W45</f>
        <v>1.2</v>
      </c>
      <c r="Y45">
        <f>IF(E37&gt;0,VLOOKUP(Alkukysely!$E$4,Intensiteettinumero,8,1),VLOOKUP(Alkukysely!$E$4,Kevytnum,8,1))</f>
        <v>3</v>
      </c>
    </row>
    <row r="46" spans="1:25" x14ac:dyDescent="0.25">
      <c r="A46" s="193" t="s">
        <v>207</v>
      </c>
      <c r="B46" s="194"/>
      <c r="C46" s="194"/>
      <c r="D46" s="194"/>
      <c r="E46" s="194"/>
      <c r="F46" s="195"/>
      <c r="G46" s="196" t="s">
        <v>208</v>
      </c>
      <c r="H46" s="197"/>
      <c r="I46" s="198"/>
    </row>
    <row r="47" spans="1:25" x14ac:dyDescent="0.25">
      <c r="A47" s="180" t="str">
        <f>C41</f>
        <v>Peruskestävyys</v>
      </c>
      <c r="B47" s="181"/>
      <c r="C47" s="181"/>
      <c r="D47" s="181"/>
      <c r="E47" s="181"/>
      <c r="F47" s="202"/>
      <c r="G47" s="199"/>
      <c r="H47" s="200"/>
      <c r="I47" s="201"/>
    </row>
    <row r="48" spans="1:25" x14ac:dyDescent="0.25">
      <c r="A48" s="184" t="str">
        <f>IF(Alkukysely!$E$4&gt;1,VLOOKUP(A39,Kovat23,34,1),"-")</f>
        <v>-</v>
      </c>
      <c r="B48" s="184"/>
      <c r="C48" s="184"/>
      <c r="D48" s="184"/>
      <c r="E48" s="184"/>
      <c r="F48" s="203"/>
      <c r="G48" s="183" t="str">
        <f>IF(Alkukysely!$E$4&gt;1,VLOOKUP(A39,Kovat23,35,1),"-")</f>
        <v>-</v>
      </c>
      <c r="H48" s="184"/>
      <c r="I48" s="185"/>
    </row>
    <row r="49" spans="1:25" x14ac:dyDescent="0.25">
      <c r="A49" s="184"/>
      <c r="B49" s="184"/>
      <c r="C49" s="184"/>
      <c r="D49" s="184"/>
      <c r="E49" s="184"/>
      <c r="F49" s="203"/>
      <c r="G49" s="183"/>
      <c r="H49" s="184"/>
      <c r="I49" s="185"/>
    </row>
    <row r="50" spans="1:25" ht="56.25" customHeight="1" thickBot="1" x14ac:dyDescent="0.3">
      <c r="A50" s="204"/>
      <c r="B50" s="204"/>
      <c r="C50" s="204"/>
      <c r="D50" s="204"/>
      <c r="E50" s="204"/>
      <c r="F50" s="205"/>
      <c r="G50" s="206"/>
      <c r="H50" s="207"/>
      <c r="I50" s="208"/>
    </row>
    <row r="51" spans="1:25" ht="17.25" thickTop="1" thickBot="1" x14ac:dyDescent="0.3">
      <c r="A51" s="180" t="str">
        <f>C44</f>
        <v>3*10min/2min</v>
      </c>
      <c r="B51" s="181"/>
      <c r="C51" s="181"/>
      <c r="D51" s="181"/>
      <c r="E51" s="181"/>
      <c r="F51" s="182"/>
      <c r="G51" s="183" t="str">
        <f>IF(Alkukysely!$E$4&gt;1,VLOOKUP(A39,Kovat23,37,1),VLOOKUP(A39,Kovat1,35,1))</f>
        <v>15min. Alkulämppä + 10min. Loppujäähdyttely</v>
      </c>
      <c r="H51" s="184"/>
      <c r="I51" s="185"/>
    </row>
    <row r="52" spans="1:25" ht="17.25" thickTop="1" thickBot="1" x14ac:dyDescent="0.3">
      <c r="A52" s="189" t="str">
        <f>IF(Alkukysely!$E$4&gt;1,VLOOKUP(A39,Kovat23,36,1),VLOOKUP(A39,Kovat1,34,1))</f>
        <v>Vaihtoehto tälle harjoitukselle on 10km kilpailuun osallistuminen. Tällä viikolla on ohjelmassa vauhtikestävyysharjoitus, jossa pyritään tulevien viikkojen aikana asteittain nostamaan kestoa vauhdin/tehon pysyessä samana. Tämän kovan harjoituksen ei ole tarkoitus olla maksimaalinen, vaan sinulla tulisi olla sellainen olo, että olisit vielä pystynyt tekemään ainakin yhden 10 minuutin sarjan lisää. Jos huomaat harjoituksen aikana, että olet jaksamisen rajoilla, voit aavistuksen keventää tehoa/vauhtia.</v>
      </c>
      <c r="B52" s="190"/>
      <c r="C52" s="190"/>
      <c r="D52" s="190"/>
      <c r="E52" s="190"/>
      <c r="F52" s="190"/>
      <c r="G52" s="183"/>
      <c r="H52" s="184"/>
      <c r="I52" s="185"/>
    </row>
    <row r="53" spans="1:25" ht="17.25" thickTop="1" thickBot="1" x14ac:dyDescent="0.3">
      <c r="A53" s="189"/>
      <c r="B53" s="190"/>
      <c r="C53" s="190"/>
      <c r="D53" s="190"/>
      <c r="E53" s="190"/>
      <c r="F53" s="190"/>
      <c r="G53" s="183"/>
      <c r="H53" s="184"/>
      <c r="I53" s="185"/>
    </row>
    <row r="54" spans="1:25" ht="57.75" customHeight="1" thickTop="1" thickBot="1" x14ac:dyDescent="0.3">
      <c r="A54" s="191"/>
      <c r="B54" s="192"/>
      <c r="C54" s="192"/>
      <c r="D54" s="192"/>
      <c r="E54" s="192"/>
      <c r="F54" s="192"/>
      <c r="G54" s="186"/>
      <c r="H54" s="187"/>
      <c r="I54" s="188"/>
    </row>
    <row r="55" spans="1:25" x14ac:dyDescent="0.25">
      <c r="A55" s="145" t="str">
        <f>VLOOKUP(A57,Kausisuunnitelma,5,1)</f>
        <v>Kevyt</v>
      </c>
      <c r="B55" s="147" t="s">
        <v>108</v>
      </c>
      <c r="C55" s="146" t="str">
        <f>VLOOKUP(A57,Kausisuunnitelma,3,1)</f>
        <v>Peruskestävyys</v>
      </c>
      <c r="D55" s="124"/>
      <c r="E55" s="147">
        <f>VLOOKUP(A57,Kausisuunnitelma,6,1)</f>
        <v>0</v>
      </c>
      <c r="F55" s="209" t="s">
        <v>209</v>
      </c>
      <c r="G55" s="209"/>
      <c r="H55" s="210" t="s">
        <v>210</v>
      </c>
      <c r="I55" s="211"/>
      <c r="U55" s="118"/>
      <c r="V55" s="118"/>
    </row>
    <row r="56" spans="1:25" ht="48" thickBot="1" x14ac:dyDescent="0.3">
      <c r="A56" s="125" t="s">
        <v>107</v>
      </c>
      <c r="B56" s="128">
        <f>WEEKNUM(A57,21)</f>
        <v>47</v>
      </c>
      <c r="C56" s="130" t="s">
        <v>70</v>
      </c>
      <c r="D56" s="129" t="s">
        <v>71</v>
      </c>
      <c r="E56" s="142" t="s">
        <v>159</v>
      </c>
      <c r="F56" s="121" t="s">
        <v>12</v>
      </c>
      <c r="G56" s="121" t="s">
        <v>13</v>
      </c>
      <c r="H56" s="122" t="s">
        <v>12</v>
      </c>
      <c r="I56" s="123" t="s">
        <v>13</v>
      </c>
      <c r="J56" s="2"/>
      <c r="K56" s="2"/>
      <c r="L56" s="2"/>
      <c r="M56" s="2"/>
      <c r="N56" s="2"/>
      <c r="O56" s="2"/>
      <c r="P56" s="2"/>
      <c r="Q56" s="2"/>
      <c r="R56" s="2"/>
      <c r="S56" s="2"/>
      <c r="T56" s="2" t="s">
        <v>160</v>
      </c>
    </row>
    <row r="57" spans="1:25" x14ac:dyDescent="0.25">
      <c r="A57" s="132">
        <f>A45+1</f>
        <v>44151</v>
      </c>
      <c r="B57" s="133">
        <f t="shared" ref="B57:B63" si="9">A57</f>
        <v>44151</v>
      </c>
      <c r="C57" s="134" t="str">
        <f>VLOOKUP(Y57,Intensiteettikoodi,2,1)</f>
        <v>Lepo</v>
      </c>
      <c r="D57" s="135" t="str">
        <f>IF(Alkukysely!$F$4&gt;1, "Puntti","-")</f>
        <v>-</v>
      </c>
      <c r="E57" s="143">
        <f>IF(E55&gt;0,ROUND(S57*X63,-1),VLOOKUP(Alkukysely!$E$4,Kevytkesto,2,1))</f>
        <v>0</v>
      </c>
      <c r="F57" s="136">
        <f ca="1">VLOOKUP(Y57,Intensiteettikoodi,3,1)*Harjoitusalueet!$C$5</f>
        <v>0</v>
      </c>
      <c r="G57" s="136">
        <f ca="1">VLOOKUP(Y57,Intensiteettikoodi,4,1)*Harjoitusalueet!$C$5</f>
        <v>0</v>
      </c>
      <c r="H57" s="137" t="e">
        <f t="shared" ref="H57:H63" ca="1" si="10">TIME(0,0,((2.8/F57)^(1/3))*500)</f>
        <v>#DIV/0!</v>
      </c>
      <c r="I57" s="138" t="e">
        <f ca="1">TIME(0,0,((2.8/G57)^(1/3))*500)</f>
        <v>#DIV/0!</v>
      </c>
      <c r="R57" s="119"/>
      <c r="S57" s="51">
        <f>VLOOKUP(Alkukysely!$E$4,Keskikesto,2,1)</f>
        <v>0</v>
      </c>
      <c r="Y57">
        <f>IF(E55&gt;0,VLOOKUP(Alkukysely!$E$4,Intensiteettinumero,2,1),VLOOKUP(Alkukysely!$E$4,Kevytnum,2,1))</f>
        <v>0</v>
      </c>
    </row>
    <row r="58" spans="1:25" x14ac:dyDescent="0.25">
      <c r="A58" s="126">
        <f t="shared" ref="A58:A63" si="11">A57+1</f>
        <v>44152</v>
      </c>
      <c r="B58" s="127">
        <f t="shared" si="9"/>
        <v>44152</v>
      </c>
      <c r="C58" s="131" t="str">
        <f>VLOOKUP(Y58,Intensiteettikoodi,2,1)</f>
        <v>Lepo</v>
      </c>
      <c r="D58" s="120"/>
      <c r="E58" s="144">
        <f>IF(E55&gt;0,ROUND(S58*X63,-1),VLOOKUP(Alkukysely!$E$4,Kevytkesto,3,1))</f>
        <v>0</v>
      </c>
      <c r="F58" s="139">
        <f ca="1">VLOOKUP(Y58,Intensiteettikoodi,3,1)*Harjoitusalueet!$C$5</f>
        <v>0</v>
      </c>
      <c r="G58" s="139">
        <f ca="1">VLOOKUP(Y58,Intensiteettikoodi,4,1)*Harjoitusalueet!$C$5</f>
        <v>0</v>
      </c>
      <c r="H58" s="140" t="e">
        <f t="shared" ca="1" si="10"/>
        <v>#DIV/0!</v>
      </c>
      <c r="I58" s="141" t="e">
        <f ca="1">TIME(0,0,((2.8/G58)^(1/3))*500)</f>
        <v>#DIV/0!</v>
      </c>
      <c r="R58" s="119"/>
      <c r="S58" s="51">
        <f>VLOOKUP(Alkukysely!$E$4,Keskikesto,3,1)</f>
        <v>50</v>
      </c>
      <c r="Y58">
        <f>IF(E55&gt;0,VLOOKUP(Alkukysely!$E$4,Intensiteettinumero,3,1),VLOOKUP(Alkukysely!$E$4,Kevytnum,3,1))</f>
        <v>0</v>
      </c>
    </row>
    <row r="59" spans="1:25" x14ac:dyDescent="0.25">
      <c r="A59" s="126">
        <f t="shared" si="11"/>
        <v>44153</v>
      </c>
      <c r="B59" s="127">
        <f t="shared" si="9"/>
        <v>44153</v>
      </c>
      <c r="C59" s="131" t="str">
        <f>IF(Y59=4,T59,VLOOKUP(Y59,Intensiteettikoodi,2,1))</f>
        <v>Peruskestävyys</v>
      </c>
      <c r="D59" s="120"/>
      <c r="E59" s="144">
        <f>IF(E55&gt;0,ROUND(S59*X63,-1),VLOOKUP(Alkukysely!$E$4,Kevytkesto,4,1))</f>
        <v>60</v>
      </c>
      <c r="F59" s="212">
        <f ca="1">IF(Alkukysely!$E$4&gt;1,VLOOKUP('Viikko-ohjelma'!A57,Kovat23,11,1),VLOOKUP(Y59,Intensiteettikoodi,3,1)*Harjoitusalueet!$C$5)</f>
        <v>0</v>
      </c>
      <c r="G59" s="212"/>
      <c r="H59" s="213" t="e">
        <f t="shared" ca="1" si="10"/>
        <v>#DIV/0!</v>
      </c>
      <c r="I59" s="214"/>
      <c r="R59" s="119"/>
      <c r="S59" s="51">
        <f>VLOOKUP(Alkukysely!$E$4,Keskikesto,4,1)</f>
        <v>62.5</v>
      </c>
      <c r="T59" t="str">
        <f>IF(Alkukysely!$E$4&gt;1,VLOOKUP('Viikko-ohjelma'!A57,Kovat23,8,1),C59)</f>
        <v>Peruskestävyys</v>
      </c>
      <c r="Y59">
        <f>IF(E55&gt;0,VLOOKUP(Alkukysely!$E$4,Intensiteettinumero,4,1),VLOOKUP(Alkukysely!$E$4,Kevytnum,4,1))</f>
        <v>2</v>
      </c>
    </row>
    <row r="60" spans="1:25" x14ac:dyDescent="0.25">
      <c r="A60" s="126">
        <f t="shared" si="11"/>
        <v>44154</v>
      </c>
      <c r="B60" s="127">
        <f t="shared" si="9"/>
        <v>44154</v>
      </c>
      <c r="C60" s="131" t="str">
        <f>VLOOKUP(Y60,Intensiteettikoodi,2,1)</f>
        <v>Lepo</v>
      </c>
      <c r="D60" s="120" t="str">
        <f>IF(AND(Alkukysely!$F$4&gt;2,E55&gt;0), "Puntti","-")</f>
        <v>-</v>
      </c>
      <c r="E60" s="144">
        <f>IF(E55&gt;0,ROUND(S60*X63,-1),VLOOKUP(Alkukysely!$E$4,Kevytkesto,5,1))</f>
        <v>0</v>
      </c>
      <c r="F60" s="139">
        <f ca="1">VLOOKUP(Y60,Intensiteettikoodi,3,1)*Harjoitusalueet!$C$5</f>
        <v>0</v>
      </c>
      <c r="G60" s="139">
        <f ca="1">VLOOKUP(Y60,Intensiteettikoodi,4,1)*Harjoitusalueet!$C$5</f>
        <v>0</v>
      </c>
      <c r="H60" s="140" t="e">
        <f t="shared" ca="1" si="10"/>
        <v>#DIV/0!</v>
      </c>
      <c r="I60" s="141" t="e">
        <f ca="1">TIME(0,0,((2.8/G60)^(1/3))*500)</f>
        <v>#DIV/0!</v>
      </c>
      <c r="R60" s="119"/>
      <c r="S60" s="51">
        <f>VLOOKUP(Alkukysely!$E$4,Keskikesto,5,1)</f>
        <v>0</v>
      </c>
      <c r="X60" s="46"/>
      <c r="Y60">
        <f>IF(E55&gt;0,VLOOKUP(Alkukysely!$E$4,Intensiteettinumero,5,1),VLOOKUP(Alkukysely!$E$4,Kevytnum,5,1))</f>
        <v>0</v>
      </c>
    </row>
    <row r="61" spans="1:25" x14ac:dyDescent="0.25">
      <c r="A61" s="126">
        <f t="shared" si="11"/>
        <v>44155</v>
      </c>
      <c r="B61" s="127">
        <f t="shared" si="9"/>
        <v>44155</v>
      </c>
      <c r="C61" s="131" t="str">
        <f>VLOOKUP(Y61,Intensiteettikoodi,2,1)</f>
        <v>Palauttava</v>
      </c>
      <c r="D61" s="120"/>
      <c r="E61" s="144">
        <f>IF(E55&gt;0,ROUND(S61*X63,-1),VLOOKUP(Alkukysely!$E$4,Kevytkesto,6,1))</f>
        <v>45</v>
      </c>
      <c r="F61" s="139">
        <f ca="1">VLOOKUP(Y61,Intensiteettikoodi,3,1)*Harjoitusalueet!$C$5</f>
        <v>0</v>
      </c>
      <c r="G61" s="139">
        <f ca="1">VLOOKUP(Y61,Intensiteettikoodi,4,1)*Harjoitusalueet!$C$5</f>
        <v>0</v>
      </c>
      <c r="H61" s="140" t="e">
        <f t="shared" ca="1" si="10"/>
        <v>#DIV/0!</v>
      </c>
      <c r="I61" s="141" t="e">
        <f ca="1">TIME(0,0,((2.8/G61)^(1/3))*500)</f>
        <v>#DIV/0!</v>
      </c>
      <c r="R61" s="119"/>
      <c r="S61" s="51">
        <f>VLOOKUP(Alkukysely!$E$4,Keskikesto,6,1)</f>
        <v>0</v>
      </c>
      <c r="X61" s="46"/>
      <c r="Y61">
        <f>IF(E55&gt;0,VLOOKUP(Alkukysely!$E$4,Intensiteettinumero,6,1),VLOOKUP(Alkukysely!$E$4,Kevytnum,6,1))</f>
        <v>1</v>
      </c>
    </row>
    <row r="62" spans="1:25" x14ac:dyDescent="0.25">
      <c r="A62" s="126">
        <f t="shared" si="11"/>
        <v>44156</v>
      </c>
      <c r="B62" s="127">
        <f t="shared" si="9"/>
        <v>44156</v>
      </c>
      <c r="C62" s="131" t="str">
        <f>IF(Y62=4,T62,VLOOKUP(Y62,Intensiteettikoodi,2,1))</f>
        <v>Lepo</v>
      </c>
      <c r="D62" s="120"/>
      <c r="E62" s="144">
        <f>IF(E55&gt;0,ROUND(S62*X63,-1),VLOOKUP(Alkukysely!$E$4,Kevytkesto,7,1))</f>
        <v>0</v>
      </c>
      <c r="F62" s="212">
        <f ca="1">IF(Alkukysely!$E$4&gt;1,VLOOKUP('Viikko-ohjelma'!A57,Kovat23,24,1),VLOOKUP(A57,Kovat1,11,1))</f>
        <v>0</v>
      </c>
      <c r="G62" s="212"/>
      <c r="H62" s="213" t="e">
        <f t="shared" ca="1" si="10"/>
        <v>#DIV/0!</v>
      </c>
      <c r="I62" s="214"/>
      <c r="R62" s="119"/>
      <c r="S62" s="51">
        <f>VLOOKUP(Alkukysely!$E$4,Keskikesto,7,1)</f>
        <v>67.5</v>
      </c>
      <c r="T62" t="str">
        <f>IF(Alkukysely!$E$4&gt;1,VLOOKUP('Viikko-ohjelma'!A57,Kovat23,21,1),VLOOKUP(A57,Kovat1,8,1))</f>
        <v>LEPO</v>
      </c>
      <c r="Y62">
        <f>IF(E55&gt;0,VLOOKUP(Alkukysely!$E$4,Intensiteettinumero,7,1),VLOOKUP(Alkukysely!$E$4,Kevytnum,7,1))</f>
        <v>0</v>
      </c>
    </row>
    <row r="63" spans="1:25" x14ac:dyDescent="0.25">
      <c r="A63" s="126">
        <f t="shared" si="11"/>
        <v>44157</v>
      </c>
      <c r="B63" s="127">
        <f t="shared" si="9"/>
        <v>44157</v>
      </c>
      <c r="C63" s="131" t="str">
        <f>VLOOKUP(Y63,Intensiteettikoodi,2,1)</f>
        <v>Pitkä peruskestävyys</v>
      </c>
      <c r="D63" s="120"/>
      <c r="E63" s="144">
        <f>IF(E55&gt;0,ROUND(S63*X63,-1),VLOOKUP(Alkukysely!$E$4,Kevytkesto,8,1))</f>
        <v>75</v>
      </c>
      <c r="F63" s="139">
        <f ca="1">VLOOKUP(Y63,Intensiteettikoodi,3,1)*Harjoitusalueet!$C$5</f>
        <v>0</v>
      </c>
      <c r="G63" s="139">
        <f ca="1">VLOOKUP(Y63,Intensiteettikoodi,4,1)*Harjoitusalueet!$C$5</f>
        <v>0</v>
      </c>
      <c r="H63" s="140" t="e">
        <f t="shared" ca="1" si="10"/>
        <v>#DIV/0!</v>
      </c>
      <c r="I63" s="141" t="e">
        <f ca="1">TIME(0,0,((2.8/G63)^(1/3))*500)</f>
        <v>#DIV/0!</v>
      </c>
      <c r="R63" s="119"/>
      <c r="S63" s="51">
        <f>VLOOKUP(Alkukysely!$E$4,Keskikesto,8,1)</f>
        <v>120</v>
      </c>
      <c r="V63">
        <f>VLOOKUP(A57,Kausisuunnitelma,7,1)</f>
        <v>3</v>
      </c>
      <c r="W63">
        <f>VLOOKUP(Alkukysely!$E$4,Keskikesto,10)</f>
        <v>5</v>
      </c>
      <c r="X63">
        <f>V63/W63</f>
        <v>0.6</v>
      </c>
      <c r="Y63">
        <f>IF(E55&gt;0,VLOOKUP(Alkukysely!$E$4,Intensiteettinumero,8,1),VLOOKUP(Alkukysely!$E$4,Kevytnum,8,1))</f>
        <v>3</v>
      </c>
    </row>
    <row r="64" spans="1:25" x14ac:dyDescent="0.25">
      <c r="A64" s="193" t="s">
        <v>207</v>
      </c>
      <c r="B64" s="194"/>
      <c r="C64" s="194"/>
      <c r="D64" s="194"/>
      <c r="E64" s="194"/>
      <c r="F64" s="195"/>
      <c r="G64" s="196" t="s">
        <v>208</v>
      </c>
      <c r="H64" s="197"/>
      <c r="I64" s="198"/>
    </row>
    <row r="65" spans="1:25" x14ac:dyDescent="0.25">
      <c r="A65" s="180" t="str">
        <f>C59</f>
        <v>Peruskestävyys</v>
      </c>
      <c r="B65" s="181"/>
      <c r="C65" s="181"/>
      <c r="D65" s="181"/>
      <c r="E65" s="181"/>
      <c r="F65" s="202"/>
      <c r="G65" s="199"/>
      <c r="H65" s="200"/>
      <c r="I65" s="201"/>
    </row>
    <row r="66" spans="1:25" x14ac:dyDescent="0.25">
      <c r="A66" s="184" t="str">
        <f>IF(Alkukysely!$E$4&gt;1,VLOOKUP(A57,Kovat23,34,1),"-")</f>
        <v>-</v>
      </c>
      <c r="B66" s="184"/>
      <c r="C66" s="184"/>
      <c r="D66" s="184"/>
      <c r="E66" s="184"/>
      <c r="F66" s="203"/>
      <c r="G66" s="183" t="str">
        <f>IF(Alkukysely!$E$4&gt;1,VLOOKUP(A57,Kovat23,35,1),"-")</f>
        <v>-</v>
      </c>
      <c r="H66" s="184"/>
      <c r="I66" s="185"/>
    </row>
    <row r="67" spans="1:25" x14ac:dyDescent="0.25">
      <c r="A67" s="184"/>
      <c r="B67" s="184"/>
      <c r="C67" s="184"/>
      <c r="D67" s="184"/>
      <c r="E67" s="184"/>
      <c r="F67" s="203"/>
      <c r="G67" s="183"/>
      <c r="H67" s="184"/>
      <c r="I67" s="185"/>
    </row>
    <row r="68" spans="1:25" ht="16.5" thickBot="1" x14ac:dyDescent="0.3">
      <c r="A68" s="204"/>
      <c r="B68" s="204"/>
      <c r="C68" s="204"/>
      <c r="D68" s="204"/>
      <c r="E68" s="204"/>
      <c r="F68" s="205"/>
      <c r="G68" s="206"/>
      <c r="H68" s="207"/>
      <c r="I68" s="208"/>
    </row>
    <row r="69" spans="1:25" ht="17.25" thickTop="1" thickBot="1" x14ac:dyDescent="0.3">
      <c r="A69" s="180" t="str">
        <f>C62</f>
        <v>Lepo</v>
      </c>
      <c r="B69" s="181"/>
      <c r="C69" s="181"/>
      <c r="D69" s="181"/>
      <c r="E69" s="181"/>
      <c r="F69" s="182"/>
      <c r="G69" s="183">
        <f>IF(Alkukysely!$E$4&gt;1,VLOOKUP(A57,Kovat23,37,1),VLOOKUP(A57,Kovat1,35,1))</f>
        <v>0</v>
      </c>
      <c r="H69" s="184"/>
      <c r="I69" s="185"/>
    </row>
    <row r="70" spans="1:25" ht="17.25" thickTop="1" thickBot="1" x14ac:dyDescent="0.3">
      <c r="A70" s="189">
        <f>IF(Alkukysely!$E$4&gt;1,VLOOKUP(A57,Kovat23,36,1),VLOOKUP(A57,Kovat1,34,1))</f>
        <v>0</v>
      </c>
      <c r="B70" s="190"/>
      <c r="C70" s="190"/>
      <c r="D70" s="190"/>
      <c r="E70" s="190"/>
      <c r="F70" s="190"/>
      <c r="G70" s="183"/>
      <c r="H70" s="184"/>
      <c r="I70" s="185"/>
    </row>
    <row r="71" spans="1:25" ht="17.25" thickTop="1" thickBot="1" x14ac:dyDescent="0.3">
      <c r="A71" s="189"/>
      <c r="B71" s="190"/>
      <c r="C71" s="190"/>
      <c r="D71" s="190"/>
      <c r="E71" s="190"/>
      <c r="F71" s="190"/>
      <c r="G71" s="183"/>
      <c r="H71" s="184"/>
      <c r="I71" s="185"/>
    </row>
    <row r="72" spans="1:25" ht="17.25" thickTop="1" thickBot="1" x14ac:dyDescent="0.3">
      <c r="A72" s="191"/>
      <c r="B72" s="192"/>
      <c r="C72" s="192"/>
      <c r="D72" s="192"/>
      <c r="E72" s="192"/>
      <c r="F72" s="192"/>
      <c r="G72" s="186"/>
      <c r="H72" s="187"/>
      <c r="I72" s="188"/>
    </row>
    <row r="73" spans="1:25" x14ac:dyDescent="0.25">
      <c r="A73" s="145" t="str">
        <f>VLOOKUP(A75,Kausisuunnitelma,5,1)</f>
        <v>Kova 1</v>
      </c>
      <c r="B73" s="147" t="s">
        <v>108</v>
      </c>
      <c r="C73" s="146" t="str">
        <f>VLOOKUP(A75,Kausisuunnitelma,3,1)</f>
        <v>MK pitkä</v>
      </c>
      <c r="D73" s="124"/>
      <c r="E73" s="147">
        <f>VLOOKUP(A75,Kausisuunnitelma,6,1)</f>
        <v>1</v>
      </c>
      <c r="F73" s="209" t="s">
        <v>209</v>
      </c>
      <c r="G73" s="209"/>
      <c r="H73" s="210" t="s">
        <v>210</v>
      </c>
      <c r="I73" s="211"/>
      <c r="U73" s="118"/>
      <c r="V73" s="118"/>
    </row>
    <row r="74" spans="1:25" ht="48" thickBot="1" x14ac:dyDescent="0.3">
      <c r="A74" s="125" t="s">
        <v>107</v>
      </c>
      <c r="B74" s="128">
        <f>WEEKNUM(A75,21)</f>
        <v>48</v>
      </c>
      <c r="C74" s="130" t="s">
        <v>70</v>
      </c>
      <c r="D74" s="129" t="s">
        <v>71</v>
      </c>
      <c r="E74" s="142" t="s">
        <v>159</v>
      </c>
      <c r="F74" s="121" t="s">
        <v>12</v>
      </c>
      <c r="G74" s="121" t="s">
        <v>13</v>
      </c>
      <c r="H74" s="122" t="s">
        <v>12</v>
      </c>
      <c r="I74" s="123" t="s">
        <v>13</v>
      </c>
      <c r="J74" s="2"/>
      <c r="K74" s="2"/>
      <c r="L74" s="2"/>
      <c r="M74" s="2"/>
      <c r="N74" s="2"/>
      <c r="O74" s="2"/>
      <c r="P74" s="2"/>
      <c r="Q74" s="2"/>
      <c r="R74" s="2"/>
      <c r="S74" s="2"/>
      <c r="T74" s="2" t="s">
        <v>160</v>
      </c>
    </row>
    <row r="75" spans="1:25" x14ac:dyDescent="0.25">
      <c r="A75" s="132">
        <f>A63+1</f>
        <v>44158</v>
      </c>
      <c r="B75" s="133">
        <f t="shared" ref="B75:B81" si="12">A75</f>
        <v>44158</v>
      </c>
      <c r="C75" s="134" t="str">
        <f>VLOOKUP(Y75,Intensiteettikoodi,2,1)</f>
        <v>Lepo</v>
      </c>
      <c r="D75" s="135" t="str">
        <f>IF(Alkukysely!$F$4&gt;1, "Puntti","-")</f>
        <v>-</v>
      </c>
      <c r="E75" s="143">
        <f>IF(E73&gt;0,ROUND(S75*X81,-1),VLOOKUP(Alkukysely!$E$4,Kevytkesto,2,1))</f>
        <v>0</v>
      </c>
      <c r="F75" s="136">
        <f ca="1">VLOOKUP(Y75,Intensiteettikoodi,3,1)*Harjoitusalueet!$C$5</f>
        <v>0</v>
      </c>
      <c r="G75" s="136">
        <f ca="1">VLOOKUP(Y75,Intensiteettikoodi,4,1)*Harjoitusalueet!$C$5</f>
        <v>0</v>
      </c>
      <c r="H75" s="137" t="e">
        <f t="shared" ref="H75:H81" ca="1" si="13">TIME(0,0,((2.8/F75)^(1/3))*500)</f>
        <v>#DIV/0!</v>
      </c>
      <c r="I75" s="138" t="e">
        <f ca="1">TIME(0,0,((2.8/G75)^(1/3))*500)</f>
        <v>#DIV/0!</v>
      </c>
      <c r="R75" s="119"/>
      <c r="S75" s="51">
        <f>VLOOKUP(Alkukysely!$E$4,Keskikesto,2,1)</f>
        <v>0</v>
      </c>
      <c r="Y75">
        <f>IF(E73&gt;0,VLOOKUP(Alkukysely!$E$4,Intensiteettinumero,2,1),VLOOKUP(Alkukysely!$E$4,Kevytnum,2,1))</f>
        <v>0</v>
      </c>
    </row>
    <row r="76" spans="1:25" x14ac:dyDescent="0.25">
      <c r="A76" s="126">
        <f t="shared" ref="A76:A81" si="14">A75+1</f>
        <v>44159</v>
      </c>
      <c r="B76" s="127">
        <f t="shared" si="12"/>
        <v>44159</v>
      </c>
      <c r="C76" s="131" t="str">
        <f>VLOOKUP(Y76,Intensiteettikoodi,2,1)</f>
        <v>Peruskestävyys</v>
      </c>
      <c r="D76" s="120"/>
      <c r="E76" s="144">
        <f>IF(E73&gt;0,ROUND(S76*X81,-1),VLOOKUP(Alkukysely!$E$4,Kevytkesto,3,1))</f>
        <v>40</v>
      </c>
      <c r="F76" s="139">
        <f ca="1">VLOOKUP(Y76,Intensiteettikoodi,3,1)*Harjoitusalueet!$C$5</f>
        <v>0</v>
      </c>
      <c r="G76" s="139">
        <f ca="1">VLOOKUP(Y76,Intensiteettikoodi,4,1)*Harjoitusalueet!$C$5</f>
        <v>0</v>
      </c>
      <c r="H76" s="140" t="e">
        <f t="shared" ca="1" si="13"/>
        <v>#DIV/0!</v>
      </c>
      <c r="I76" s="141" t="e">
        <f ca="1">TIME(0,0,((2.8/G76)^(1/3))*500)</f>
        <v>#DIV/0!</v>
      </c>
      <c r="R76" s="119"/>
      <c r="S76" s="51">
        <f>VLOOKUP(Alkukysely!$E$4,Keskikesto,3,1)</f>
        <v>50</v>
      </c>
      <c r="Y76">
        <f>IF(E73&gt;0,VLOOKUP(Alkukysely!$E$4,Intensiteettinumero,3,1),VLOOKUP(Alkukysely!$E$4,Kevytnum,3,1))</f>
        <v>2</v>
      </c>
    </row>
    <row r="77" spans="1:25" x14ac:dyDescent="0.25">
      <c r="A77" s="126">
        <f t="shared" si="14"/>
        <v>44160</v>
      </c>
      <c r="B77" s="127">
        <f t="shared" si="12"/>
        <v>44160</v>
      </c>
      <c r="C77" s="131" t="str">
        <f>IF(Y77=4,T77,VLOOKUP(Y77,Intensiteettikoodi,2,1))</f>
        <v>Peruskestävyys</v>
      </c>
      <c r="D77" s="120"/>
      <c r="E77" s="144">
        <f>IF(E73&gt;0,ROUND(S77*X81,-1),VLOOKUP(Alkukysely!$E$4,Kevytkesto,4,1))</f>
        <v>50</v>
      </c>
      <c r="F77" s="212">
        <f ca="1">IF(Alkukysely!$E$4&gt;1,VLOOKUP('Viikko-ohjelma'!A75,Kovat23,11,1),VLOOKUP(Y77,Intensiteettikoodi,3,1)*Harjoitusalueet!$C$5)</f>
        <v>0</v>
      </c>
      <c r="G77" s="212"/>
      <c r="H77" s="213" t="e">
        <f t="shared" ca="1" si="13"/>
        <v>#DIV/0!</v>
      </c>
      <c r="I77" s="214"/>
      <c r="R77" s="119"/>
      <c r="S77" s="51">
        <f>VLOOKUP(Alkukysely!$E$4,Keskikesto,4,1)</f>
        <v>62.5</v>
      </c>
      <c r="T77" t="str">
        <f>IF(Alkukysely!$E$4&gt;1,VLOOKUP('Viikko-ohjelma'!A75,Kovat23,8,1),C77)</f>
        <v>Peruskestävyys</v>
      </c>
      <c r="Y77">
        <f>IF(E73&gt;0,VLOOKUP(Alkukysely!$E$4,Intensiteettinumero,4,1),VLOOKUP(Alkukysely!$E$4,Kevytnum,4,1))</f>
        <v>2</v>
      </c>
    </row>
    <row r="78" spans="1:25" x14ac:dyDescent="0.25">
      <c r="A78" s="126">
        <f t="shared" si="14"/>
        <v>44161</v>
      </c>
      <c r="B78" s="127">
        <f t="shared" si="12"/>
        <v>44161</v>
      </c>
      <c r="C78" s="131" t="str">
        <f>VLOOKUP(Y78,Intensiteettikoodi,2,1)</f>
        <v>Lepo</v>
      </c>
      <c r="D78" s="120" t="str">
        <f>IF(AND(Alkukysely!$F$4&gt;2,E73&gt;0), "Puntti","-")</f>
        <v>-</v>
      </c>
      <c r="E78" s="144">
        <f>IF(E73&gt;0,ROUND(S78*X81,-1),VLOOKUP(Alkukysely!$E$4,Kevytkesto,5,1))</f>
        <v>0</v>
      </c>
      <c r="F78" s="139">
        <f ca="1">VLOOKUP(Y78,Intensiteettikoodi,3,1)*Harjoitusalueet!$C$5</f>
        <v>0</v>
      </c>
      <c r="G78" s="139">
        <f ca="1">VLOOKUP(Y78,Intensiteettikoodi,4,1)*Harjoitusalueet!$C$5</f>
        <v>0</v>
      </c>
      <c r="H78" s="140" t="e">
        <f t="shared" ca="1" si="13"/>
        <v>#DIV/0!</v>
      </c>
      <c r="I78" s="141" t="e">
        <f ca="1">TIME(0,0,((2.8/G78)^(1/3))*500)</f>
        <v>#DIV/0!</v>
      </c>
      <c r="R78" s="119"/>
      <c r="S78" s="51">
        <f>VLOOKUP(Alkukysely!$E$4,Keskikesto,5,1)</f>
        <v>0</v>
      </c>
      <c r="X78" s="46"/>
      <c r="Y78">
        <f>IF(E73&gt;0,VLOOKUP(Alkukysely!$E$4,Intensiteettinumero,5,1),VLOOKUP(Alkukysely!$E$4,Kevytnum,5,1))</f>
        <v>0</v>
      </c>
    </row>
    <row r="79" spans="1:25" x14ac:dyDescent="0.25">
      <c r="A79" s="126">
        <f t="shared" si="14"/>
        <v>44162</v>
      </c>
      <c r="B79" s="127">
        <f t="shared" si="12"/>
        <v>44162</v>
      </c>
      <c r="C79" s="131" t="str">
        <f>VLOOKUP(Y79,Intensiteettikoodi,2,1)</f>
        <v>Lepo</v>
      </c>
      <c r="D79" s="120"/>
      <c r="E79" s="144">
        <f>IF(E73&gt;0,ROUND(S79*X81,-1),VLOOKUP(Alkukysely!$E$4,Kevytkesto,6,1))</f>
        <v>0</v>
      </c>
      <c r="F79" s="139">
        <f ca="1">VLOOKUP(Y79,Intensiteettikoodi,3,1)*Harjoitusalueet!$C$5</f>
        <v>0</v>
      </c>
      <c r="G79" s="139">
        <f ca="1">VLOOKUP(Y79,Intensiteettikoodi,4,1)*Harjoitusalueet!$C$5</f>
        <v>0</v>
      </c>
      <c r="H79" s="140" t="e">
        <f t="shared" ca="1" si="13"/>
        <v>#DIV/0!</v>
      </c>
      <c r="I79" s="141" t="e">
        <f ca="1">TIME(0,0,((2.8/G79)^(1/3))*500)</f>
        <v>#DIV/0!</v>
      </c>
      <c r="R79" s="119"/>
      <c r="S79" s="51">
        <f>VLOOKUP(Alkukysely!$E$4,Keskikesto,6,1)</f>
        <v>0</v>
      </c>
      <c r="X79" s="46"/>
      <c r="Y79">
        <f>IF(E73&gt;0,VLOOKUP(Alkukysely!$E$4,Intensiteettinumero,6,1),VLOOKUP(Alkukysely!$E$4,Kevytnum,6,1))</f>
        <v>0</v>
      </c>
    </row>
    <row r="80" spans="1:25" x14ac:dyDescent="0.25">
      <c r="A80" s="126">
        <f t="shared" si="14"/>
        <v>44163</v>
      </c>
      <c r="B80" s="127">
        <f t="shared" si="12"/>
        <v>44163</v>
      </c>
      <c r="C80" s="131" t="str">
        <f>IF(Y80=4,T80,VLOOKUP(Y80,Intensiteettikoodi,2,1))</f>
        <v>5*5min/3min</v>
      </c>
      <c r="D80" s="120"/>
      <c r="E80" s="144">
        <f>IF(E73&gt;0,ROUND(S80*X81,-1),VLOOKUP(Alkukysely!$E$4,Kevytkesto,7,1))</f>
        <v>50</v>
      </c>
      <c r="F80" s="212">
        <f ca="1">IF(Alkukysely!$E$4&gt;1,VLOOKUP('Viikko-ohjelma'!A75,Kovat23,24,1),VLOOKUP(A75,Kovat1,11,1))</f>
        <v>0</v>
      </c>
      <c r="G80" s="212"/>
      <c r="H80" s="213" t="e">
        <f t="shared" ca="1" si="13"/>
        <v>#DIV/0!</v>
      </c>
      <c r="I80" s="214"/>
      <c r="R80" s="119"/>
      <c r="S80" s="51">
        <f>VLOOKUP(Alkukysely!$E$4,Keskikesto,7,1)</f>
        <v>67.5</v>
      </c>
      <c r="T80" t="str">
        <f>IF(Alkukysely!$E$4&gt;1,VLOOKUP('Viikko-ohjelma'!A75,Kovat23,21,1),VLOOKUP(A75,Kovat1,8,1))</f>
        <v>5*5min/3min</v>
      </c>
      <c r="Y80">
        <f>IF(E73&gt;0,VLOOKUP(Alkukysely!$E$4,Intensiteettinumero,7,1),VLOOKUP(Alkukysely!$E$4,Kevytnum,7,1))</f>
        <v>4</v>
      </c>
    </row>
    <row r="81" spans="1:25" x14ac:dyDescent="0.25">
      <c r="A81" s="126">
        <f t="shared" si="14"/>
        <v>44164</v>
      </c>
      <c r="B81" s="127">
        <f t="shared" si="12"/>
        <v>44164</v>
      </c>
      <c r="C81" s="131" t="str">
        <f>VLOOKUP(Y81,Intensiteettikoodi,2,1)</f>
        <v>Pitkä peruskestävyys</v>
      </c>
      <c r="D81" s="120"/>
      <c r="E81" s="144">
        <f>IF(E73&gt;0,ROUND(S81*X81,-1),VLOOKUP(Alkukysely!$E$4,Kevytkesto,8,1))</f>
        <v>100</v>
      </c>
      <c r="F81" s="139">
        <f ca="1">VLOOKUP(Y81,Intensiteettikoodi,3,1)*Harjoitusalueet!$C$5</f>
        <v>0</v>
      </c>
      <c r="G81" s="139">
        <f ca="1">VLOOKUP(Y81,Intensiteettikoodi,4,1)*Harjoitusalueet!$C$5</f>
        <v>0</v>
      </c>
      <c r="H81" s="140" t="e">
        <f t="shared" ca="1" si="13"/>
        <v>#DIV/0!</v>
      </c>
      <c r="I81" s="141" t="e">
        <f ca="1">TIME(0,0,((2.8/G81)^(1/3))*500)</f>
        <v>#DIV/0!</v>
      </c>
      <c r="R81" s="119"/>
      <c r="S81" s="51">
        <f>VLOOKUP(Alkukysely!$E$4,Keskikesto,8,1)</f>
        <v>120</v>
      </c>
      <c r="V81">
        <f>VLOOKUP(A75,Kausisuunnitelma,7,1)</f>
        <v>4</v>
      </c>
      <c r="W81">
        <f>VLOOKUP(Alkukysely!$E$4,Keskikesto,10)</f>
        <v>5</v>
      </c>
      <c r="X81">
        <f>V81/W81</f>
        <v>0.8</v>
      </c>
      <c r="Y81">
        <f>IF(E73&gt;0,VLOOKUP(Alkukysely!$E$4,Intensiteettinumero,8,1),VLOOKUP(Alkukysely!$E$4,Kevytnum,8,1))</f>
        <v>3</v>
      </c>
    </row>
    <row r="82" spans="1:25" x14ac:dyDescent="0.25">
      <c r="A82" s="193" t="s">
        <v>207</v>
      </c>
      <c r="B82" s="194"/>
      <c r="C82" s="194"/>
      <c r="D82" s="194"/>
      <c r="E82" s="194"/>
      <c r="F82" s="195"/>
      <c r="G82" s="196" t="s">
        <v>208</v>
      </c>
      <c r="H82" s="197"/>
      <c r="I82" s="198"/>
    </row>
    <row r="83" spans="1:25" x14ac:dyDescent="0.25">
      <c r="A83" s="180" t="str">
        <f>C77</f>
        <v>Peruskestävyys</v>
      </c>
      <c r="B83" s="181"/>
      <c r="C83" s="181"/>
      <c r="D83" s="181"/>
      <c r="E83" s="181"/>
      <c r="F83" s="202"/>
      <c r="G83" s="199"/>
      <c r="H83" s="200"/>
      <c r="I83" s="201"/>
    </row>
    <row r="84" spans="1:25" x14ac:dyDescent="0.25">
      <c r="A84" s="184" t="str">
        <f>IF(Alkukysely!$E$4&gt;1,VLOOKUP(A75,Kovat23,34,1),"-")</f>
        <v>-</v>
      </c>
      <c r="B84" s="184"/>
      <c r="C84" s="184"/>
      <c r="D84" s="184"/>
      <c r="E84" s="184"/>
      <c r="F84" s="203"/>
      <c r="G84" s="183" t="str">
        <f>IF(Alkukysely!$E$4&gt;1,VLOOKUP(A75,Kovat23,35,1),"-")</f>
        <v>-</v>
      </c>
      <c r="H84" s="184"/>
      <c r="I84" s="185"/>
    </row>
    <row r="85" spans="1:25" x14ac:dyDescent="0.25">
      <c r="A85" s="184"/>
      <c r="B85" s="184"/>
      <c r="C85" s="184"/>
      <c r="D85" s="184"/>
      <c r="E85" s="184"/>
      <c r="F85" s="203"/>
      <c r="G85" s="183"/>
      <c r="H85" s="184"/>
      <c r="I85" s="185"/>
    </row>
    <row r="86" spans="1:25" ht="81" customHeight="1" thickBot="1" x14ac:dyDescent="0.3">
      <c r="A86" s="204"/>
      <c r="B86" s="204"/>
      <c r="C86" s="204"/>
      <c r="D86" s="204"/>
      <c r="E86" s="204"/>
      <c r="F86" s="205"/>
      <c r="G86" s="206"/>
      <c r="H86" s="207"/>
      <c r="I86" s="208"/>
    </row>
    <row r="87" spans="1:25" ht="17.25" thickTop="1" thickBot="1" x14ac:dyDescent="0.3">
      <c r="A87" s="180" t="str">
        <f>C80</f>
        <v>5*5min/3min</v>
      </c>
      <c r="B87" s="181"/>
      <c r="C87" s="181"/>
      <c r="D87" s="181"/>
      <c r="E87" s="181"/>
      <c r="F87" s="182"/>
      <c r="G87" s="183" t="str">
        <f>IF(Alkukysely!$E$4&gt;1,VLOOKUP(A75,Kovat23,37,1),VLOOKUP(A75,Kovat1,35,1))</f>
        <v>20 min alkulämppä + 15 min. loppujäähdyttely</v>
      </c>
      <c r="H87" s="184"/>
      <c r="I87" s="185"/>
    </row>
    <row r="88" spans="1:25" ht="17.25" thickTop="1" thickBot="1" x14ac:dyDescent="0.3">
      <c r="A88" s="189" t="str">
        <f>IF(Alkukysely!$E$4&gt;1,VLOOKUP(A75,Kovat23,36,1),VLOOKUP(A75,Kovat1,34,1))</f>
        <v xml:space="preserve">Nyt kovissa harjoituksissa siirrytään maksimikestävyysalueelle, eli anaerobisen kynnyksen yläpuolelle. MK-intervallit suoritetaan kohtalaisen pitkinä, jolloin ne kehittävät tehokkaasti sekä anaerobista kynnystäsi että maksimaalista hapenottokykyäsi. Harjoitus on haastava, mutta sinun tulisi pystyä pitämään yllä samaa tehoa/vauhtia kaikissa intervalleissa. </v>
      </c>
      <c r="B88" s="190"/>
      <c r="C88" s="190"/>
      <c r="D88" s="190"/>
      <c r="E88" s="190"/>
      <c r="F88" s="190"/>
      <c r="G88" s="183"/>
      <c r="H88" s="184"/>
      <c r="I88" s="185"/>
    </row>
    <row r="89" spans="1:25" ht="17.25" thickTop="1" thickBot="1" x14ac:dyDescent="0.3">
      <c r="A89" s="189"/>
      <c r="B89" s="190"/>
      <c r="C89" s="190"/>
      <c r="D89" s="190"/>
      <c r="E89" s="190"/>
      <c r="F89" s="190"/>
      <c r="G89" s="183"/>
      <c r="H89" s="184"/>
      <c r="I89" s="185"/>
    </row>
    <row r="90" spans="1:25" ht="46.5" customHeight="1" thickTop="1" thickBot="1" x14ac:dyDescent="0.3">
      <c r="A90" s="191"/>
      <c r="B90" s="192"/>
      <c r="C90" s="192"/>
      <c r="D90" s="192"/>
      <c r="E90" s="192"/>
      <c r="F90" s="192"/>
      <c r="G90" s="186"/>
      <c r="H90" s="187"/>
      <c r="I90" s="188"/>
    </row>
    <row r="91" spans="1:25" x14ac:dyDescent="0.25">
      <c r="A91" s="145" t="str">
        <f>VLOOKUP(A93,Kausisuunnitelma,5,1)</f>
        <v>Kova 2</v>
      </c>
      <c r="B91" s="147" t="s">
        <v>108</v>
      </c>
      <c r="C91" s="146" t="str">
        <f>VLOOKUP(A93,Kausisuunnitelma,3,1)</f>
        <v>MK pitkä</v>
      </c>
      <c r="D91" s="124"/>
      <c r="E91" s="147">
        <f>VLOOKUP(A93,Kausisuunnitelma,6,1)</f>
        <v>2</v>
      </c>
      <c r="F91" s="209" t="s">
        <v>209</v>
      </c>
      <c r="G91" s="209"/>
      <c r="H91" s="210" t="s">
        <v>210</v>
      </c>
      <c r="I91" s="211"/>
      <c r="U91" s="118"/>
      <c r="V91" s="118"/>
    </row>
    <row r="92" spans="1:25" ht="48" thickBot="1" x14ac:dyDescent="0.3">
      <c r="A92" s="125" t="s">
        <v>107</v>
      </c>
      <c r="B92" s="128">
        <f>WEEKNUM(A93,21)</f>
        <v>49</v>
      </c>
      <c r="C92" s="130" t="s">
        <v>70</v>
      </c>
      <c r="D92" s="129" t="s">
        <v>71</v>
      </c>
      <c r="E92" s="142" t="s">
        <v>159</v>
      </c>
      <c r="F92" s="121" t="s">
        <v>12</v>
      </c>
      <c r="G92" s="121" t="s">
        <v>13</v>
      </c>
      <c r="H92" s="122" t="s">
        <v>12</v>
      </c>
      <c r="I92" s="123" t="s">
        <v>13</v>
      </c>
      <c r="J92" s="2"/>
      <c r="K92" s="2"/>
      <c r="L92" s="2"/>
      <c r="M92" s="2"/>
      <c r="N92" s="2"/>
      <c r="O92" s="2"/>
      <c r="P92" s="2"/>
      <c r="Q92" s="2"/>
      <c r="R92" s="2"/>
      <c r="S92" s="2"/>
      <c r="T92" s="2" t="s">
        <v>160</v>
      </c>
    </row>
    <row r="93" spans="1:25" x14ac:dyDescent="0.25">
      <c r="A93" s="132">
        <f>A81+1</f>
        <v>44165</v>
      </c>
      <c r="B93" s="133">
        <f t="shared" ref="B93:B99" si="15">A93</f>
        <v>44165</v>
      </c>
      <c r="C93" s="134" t="str">
        <f>VLOOKUP(Y93,Intensiteettikoodi,2,1)</f>
        <v>Lepo</v>
      </c>
      <c r="D93" s="135" t="str">
        <f>IF(Alkukysely!$F$4&gt;1, "Puntti","-")</f>
        <v>-</v>
      </c>
      <c r="E93" s="143">
        <f>IF(E91&gt;0,ROUND(S93*X99,-1),VLOOKUP(Alkukysely!$E$4,Kevytkesto,2,1))</f>
        <v>0</v>
      </c>
      <c r="F93" s="136">
        <f ca="1">VLOOKUP(Y93,Intensiteettikoodi,3,1)*Harjoitusalueet!$C$5</f>
        <v>0</v>
      </c>
      <c r="G93" s="136">
        <f ca="1">VLOOKUP(Y93,Intensiteettikoodi,4,1)*Harjoitusalueet!$C$5</f>
        <v>0</v>
      </c>
      <c r="H93" s="137" t="e">
        <f t="shared" ref="H93:H99" ca="1" si="16">TIME(0,0,((2.8/F93)^(1/3))*500)</f>
        <v>#DIV/0!</v>
      </c>
      <c r="I93" s="138" t="e">
        <f ca="1">TIME(0,0,((2.8/G93)^(1/3))*500)</f>
        <v>#DIV/0!</v>
      </c>
      <c r="R93" s="119"/>
      <c r="S93" s="51">
        <f>VLOOKUP(Alkukysely!$E$4,Keskikesto,2,1)</f>
        <v>0</v>
      </c>
      <c r="Y93">
        <f>IF(E91&gt;0,VLOOKUP(Alkukysely!$E$4,Intensiteettinumero,2,1),VLOOKUP(Alkukysely!$E$4,Kevytnum,2,1))</f>
        <v>0</v>
      </c>
    </row>
    <row r="94" spans="1:25" x14ac:dyDescent="0.25">
      <c r="A94" s="126">
        <f t="shared" ref="A94:A99" si="17">A93+1</f>
        <v>44166</v>
      </c>
      <c r="B94" s="127">
        <f t="shared" si="15"/>
        <v>44166</v>
      </c>
      <c r="C94" s="131" t="str">
        <f>VLOOKUP(Y94,Intensiteettikoodi,2,1)</f>
        <v>Peruskestävyys</v>
      </c>
      <c r="D94" s="120"/>
      <c r="E94" s="144">
        <f>IF(E91&gt;0,ROUND(S94*X99,-1),VLOOKUP(Alkukysely!$E$4,Kevytkesto,3,1))</f>
        <v>40</v>
      </c>
      <c r="F94" s="139">
        <f ca="1">VLOOKUP(Y94,Intensiteettikoodi,3,1)*Harjoitusalueet!$C$5</f>
        <v>0</v>
      </c>
      <c r="G94" s="139">
        <f ca="1">VLOOKUP(Y94,Intensiteettikoodi,4,1)*Harjoitusalueet!$C$5</f>
        <v>0</v>
      </c>
      <c r="H94" s="140" t="e">
        <f t="shared" ca="1" si="16"/>
        <v>#DIV/0!</v>
      </c>
      <c r="I94" s="141" t="e">
        <f ca="1">TIME(0,0,((2.8/G94)^(1/3))*500)</f>
        <v>#DIV/0!</v>
      </c>
      <c r="R94" s="119"/>
      <c r="S94" s="51">
        <f>VLOOKUP(Alkukysely!$E$4,Keskikesto,3,1)</f>
        <v>50</v>
      </c>
      <c r="Y94">
        <f>IF(E91&gt;0,VLOOKUP(Alkukysely!$E$4,Intensiteettinumero,3,1),VLOOKUP(Alkukysely!$E$4,Kevytnum,3,1))</f>
        <v>2</v>
      </c>
    </row>
    <row r="95" spans="1:25" x14ac:dyDescent="0.25">
      <c r="A95" s="126">
        <f t="shared" si="17"/>
        <v>44167</v>
      </c>
      <c r="B95" s="127">
        <f t="shared" si="15"/>
        <v>44167</v>
      </c>
      <c r="C95" s="131" t="str">
        <f>IF(Y95=4,T95,VLOOKUP(Y95,Intensiteettikoodi,2,1))</f>
        <v>Peruskestävyys</v>
      </c>
      <c r="D95" s="120"/>
      <c r="E95" s="144">
        <f>IF(E91&gt;0,ROUND(S95*X99,-1),VLOOKUP(Alkukysely!$E$4,Kevytkesto,4,1))</f>
        <v>60</v>
      </c>
      <c r="F95" s="212">
        <f ca="1">IF(Alkukysely!$E$4&gt;1,VLOOKUP('Viikko-ohjelma'!A93,Kovat23,11,1),VLOOKUP(Y95,Intensiteettikoodi,3,1)*Harjoitusalueet!$C$5)</f>
        <v>0</v>
      </c>
      <c r="G95" s="212"/>
      <c r="H95" s="213" t="e">
        <f t="shared" ca="1" si="16"/>
        <v>#DIV/0!</v>
      </c>
      <c r="I95" s="214"/>
      <c r="R95" s="119"/>
      <c r="S95" s="51">
        <f>VLOOKUP(Alkukysely!$E$4,Keskikesto,4,1)</f>
        <v>62.5</v>
      </c>
      <c r="T95" t="str">
        <f>IF(Alkukysely!$E$4&gt;1,VLOOKUP('Viikko-ohjelma'!A93,Kovat23,8,1),C95)</f>
        <v>Peruskestävyys</v>
      </c>
      <c r="Y95">
        <f>IF(E91&gt;0,VLOOKUP(Alkukysely!$E$4,Intensiteettinumero,4,1),VLOOKUP(Alkukysely!$E$4,Kevytnum,4,1))</f>
        <v>2</v>
      </c>
    </row>
    <row r="96" spans="1:25" x14ac:dyDescent="0.25">
      <c r="A96" s="126">
        <f t="shared" si="17"/>
        <v>44168</v>
      </c>
      <c r="B96" s="127">
        <f t="shared" si="15"/>
        <v>44168</v>
      </c>
      <c r="C96" s="131" t="str">
        <f>VLOOKUP(Y96,Intensiteettikoodi,2,1)</f>
        <v>Lepo</v>
      </c>
      <c r="D96" s="120" t="str">
        <f>IF(AND(Alkukysely!$F$4&gt;2,E91&gt;0), "Puntti","-")</f>
        <v>-</v>
      </c>
      <c r="E96" s="144">
        <f>IF(E91&gt;0,ROUND(S96*X99,-1),VLOOKUP(Alkukysely!$E$4,Kevytkesto,5,1))</f>
        <v>0</v>
      </c>
      <c r="F96" s="139">
        <f ca="1">VLOOKUP(Y96,Intensiteettikoodi,3,1)*Harjoitusalueet!$C$5</f>
        <v>0</v>
      </c>
      <c r="G96" s="139">
        <f ca="1">VLOOKUP(Y96,Intensiteettikoodi,4,1)*Harjoitusalueet!$C$5</f>
        <v>0</v>
      </c>
      <c r="H96" s="140" t="e">
        <f t="shared" ca="1" si="16"/>
        <v>#DIV/0!</v>
      </c>
      <c r="I96" s="141" t="e">
        <f ca="1">TIME(0,0,((2.8/G96)^(1/3))*500)</f>
        <v>#DIV/0!</v>
      </c>
      <c r="R96" s="119"/>
      <c r="S96" s="51">
        <f>VLOOKUP(Alkukysely!$E$4,Keskikesto,5,1)</f>
        <v>0</v>
      </c>
      <c r="X96" s="46"/>
      <c r="Y96">
        <f>IF(E91&gt;0,VLOOKUP(Alkukysely!$E$4,Intensiteettinumero,5,1),VLOOKUP(Alkukysely!$E$4,Kevytnum,5,1))</f>
        <v>0</v>
      </c>
    </row>
    <row r="97" spans="1:25" x14ac:dyDescent="0.25">
      <c r="A97" s="126">
        <f t="shared" si="17"/>
        <v>44169</v>
      </c>
      <c r="B97" s="127">
        <f t="shared" si="15"/>
        <v>44169</v>
      </c>
      <c r="C97" s="131" t="str">
        <f>VLOOKUP(Y97,Intensiteettikoodi,2,1)</f>
        <v>Lepo</v>
      </c>
      <c r="D97" s="120"/>
      <c r="E97" s="144">
        <f>IF(E91&gt;0,ROUND(S97*X99,-1),VLOOKUP(Alkukysely!$E$4,Kevytkesto,6,1))</f>
        <v>0</v>
      </c>
      <c r="F97" s="139">
        <f ca="1">VLOOKUP(Y97,Intensiteettikoodi,3,1)*Harjoitusalueet!$C$5</f>
        <v>0</v>
      </c>
      <c r="G97" s="139">
        <f ca="1">VLOOKUP(Y97,Intensiteettikoodi,4,1)*Harjoitusalueet!$C$5</f>
        <v>0</v>
      </c>
      <c r="H97" s="140" t="e">
        <f t="shared" ca="1" si="16"/>
        <v>#DIV/0!</v>
      </c>
      <c r="I97" s="141" t="e">
        <f ca="1">TIME(0,0,((2.8/G97)^(1/3))*500)</f>
        <v>#DIV/0!</v>
      </c>
      <c r="R97" s="119"/>
      <c r="S97" s="51">
        <f>VLOOKUP(Alkukysely!$E$4,Keskikesto,6,1)</f>
        <v>0</v>
      </c>
      <c r="X97" s="46"/>
      <c r="Y97">
        <f>IF(E91&gt;0,VLOOKUP(Alkukysely!$E$4,Intensiteettinumero,6,1),VLOOKUP(Alkukysely!$E$4,Kevytnum,6,1))</f>
        <v>0</v>
      </c>
    </row>
    <row r="98" spans="1:25" x14ac:dyDescent="0.25">
      <c r="A98" s="126">
        <f t="shared" si="17"/>
        <v>44170</v>
      </c>
      <c r="B98" s="127">
        <f t="shared" si="15"/>
        <v>44170</v>
      </c>
      <c r="C98" s="131" t="str">
        <f>IF(Y98=4,T98,VLOOKUP(Y98,Intensiteettikoodi,2,1))</f>
        <v>5*6min/3min</v>
      </c>
      <c r="D98" s="120"/>
      <c r="E98" s="144">
        <f>IF(E91&gt;0,ROUND(S98*X99,-1),VLOOKUP(Alkukysely!$E$4,Kevytkesto,7,1))</f>
        <v>60</v>
      </c>
      <c r="F98" s="212">
        <f ca="1">IF(Alkukysely!$E$4&gt;1,VLOOKUP('Viikko-ohjelma'!A93,Kovat23,24,1),VLOOKUP(A93,Kovat1,11,1))</f>
        <v>0</v>
      </c>
      <c r="G98" s="212"/>
      <c r="H98" s="213" t="e">
        <f t="shared" ca="1" si="16"/>
        <v>#DIV/0!</v>
      </c>
      <c r="I98" s="214"/>
      <c r="R98" s="119"/>
      <c r="S98" s="51">
        <f>VLOOKUP(Alkukysely!$E$4,Keskikesto,7,1)</f>
        <v>67.5</v>
      </c>
      <c r="T98" t="str">
        <f>IF(Alkukysely!$E$4&gt;1,VLOOKUP('Viikko-ohjelma'!A93,Kovat23,21,1),VLOOKUP(A93,Kovat1,8,1))</f>
        <v>5*6min/3min</v>
      </c>
      <c r="Y98">
        <f>IF(E91&gt;0,VLOOKUP(Alkukysely!$E$4,Intensiteettinumero,7,1),VLOOKUP(Alkukysely!$E$4,Kevytnum,7,1))</f>
        <v>4</v>
      </c>
    </row>
    <row r="99" spans="1:25" x14ac:dyDescent="0.25">
      <c r="A99" s="126">
        <f t="shared" si="17"/>
        <v>44171</v>
      </c>
      <c r="B99" s="127">
        <f t="shared" si="15"/>
        <v>44171</v>
      </c>
      <c r="C99" s="131" t="str">
        <f>VLOOKUP(Y99,Intensiteettikoodi,2,1)</f>
        <v>Pitkä peruskestävyys</v>
      </c>
      <c r="D99" s="120"/>
      <c r="E99" s="144">
        <f>IF(E91&gt;0,ROUND(S99*X99,-1),VLOOKUP(Alkukysely!$E$4,Kevytkesto,8,1))</f>
        <v>110</v>
      </c>
      <c r="F99" s="139">
        <f ca="1">VLOOKUP(Y99,Intensiteettikoodi,3,1)*Harjoitusalueet!$C$5</f>
        <v>0</v>
      </c>
      <c r="G99" s="139">
        <f ca="1">VLOOKUP(Y99,Intensiteettikoodi,4,1)*Harjoitusalueet!$C$5</f>
        <v>0</v>
      </c>
      <c r="H99" s="140" t="e">
        <f t="shared" ca="1" si="16"/>
        <v>#DIV/0!</v>
      </c>
      <c r="I99" s="141" t="e">
        <f ca="1">TIME(0,0,((2.8/G99)^(1/3))*500)</f>
        <v>#DIV/0!</v>
      </c>
      <c r="R99" s="119"/>
      <c r="S99" s="51">
        <f>VLOOKUP(Alkukysely!$E$4,Keskikesto,8,1)</f>
        <v>120</v>
      </c>
      <c r="V99">
        <f>VLOOKUP(A93,Kausisuunnitelma,7,1)</f>
        <v>4.4000000000000004</v>
      </c>
      <c r="W99">
        <f>VLOOKUP(Alkukysely!$E$4,Keskikesto,10)</f>
        <v>5</v>
      </c>
      <c r="X99">
        <f>V99/W99</f>
        <v>0.88000000000000012</v>
      </c>
      <c r="Y99">
        <f>IF(E91&gt;0,VLOOKUP(Alkukysely!$E$4,Intensiteettinumero,8,1),VLOOKUP(Alkukysely!$E$4,Kevytnum,8,1))</f>
        <v>3</v>
      </c>
    </row>
    <row r="100" spans="1:25" x14ac:dyDescent="0.25">
      <c r="A100" s="193" t="s">
        <v>207</v>
      </c>
      <c r="B100" s="194"/>
      <c r="C100" s="194"/>
      <c r="D100" s="194"/>
      <c r="E100" s="194"/>
      <c r="F100" s="195"/>
      <c r="G100" s="196" t="s">
        <v>208</v>
      </c>
      <c r="H100" s="197"/>
      <c r="I100" s="198"/>
    </row>
    <row r="101" spans="1:25" x14ac:dyDescent="0.25">
      <c r="A101" s="180" t="str">
        <f>C95</f>
        <v>Peruskestävyys</v>
      </c>
      <c r="B101" s="181"/>
      <c r="C101" s="181"/>
      <c r="D101" s="181"/>
      <c r="E101" s="181"/>
      <c r="F101" s="202"/>
      <c r="G101" s="199"/>
      <c r="H101" s="200"/>
      <c r="I101" s="201"/>
    </row>
    <row r="102" spans="1:25" x14ac:dyDescent="0.25">
      <c r="A102" s="184" t="str">
        <f>IF(Alkukysely!$E$4&gt;1,VLOOKUP(A93,Kovat23,34,1),"-")</f>
        <v>-</v>
      </c>
      <c r="B102" s="184"/>
      <c r="C102" s="184"/>
      <c r="D102" s="184"/>
      <c r="E102" s="184"/>
      <c r="F102" s="203"/>
      <c r="G102" s="183" t="str">
        <f>IF(Alkukysely!$E$4&gt;1,VLOOKUP(A93,Kovat23,35,1),"-")</f>
        <v>-</v>
      </c>
      <c r="H102" s="184"/>
      <c r="I102" s="185"/>
    </row>
    <row r="103" spans="1:25" x14ac:dyDescent="0.25">
      <c r="A103" s="184"/>
      <c r="B103" s="184"/>
      <c r="C103" s="184"/>
      <c r="D103" s="184"/>
      <c r="E103" s="184"/>
      <c r="F103" s="203"/>
      <c r="G103" s="183"/>
      <c r="H103" s="184"/>
      <c r="I103" s="185"/>
    </row>
    <row r="104" spans="1:25" ht="16.5" thickBot="1" x14ac:dyDescent="0.3">
      <c r="A104" s="204"/>
      <c r="B104" s="204"/>
      <c r="C104" s="204"/>
      <c r="D104" s="204"/>
      <c r="E104" s="204"/>
      <c r="F104" s="205"/>
      <c r="G104" s="206"/>
      <c r="H104" s="207"/>
      <c r="I104" s="208"/>
    </row>
    <row r="105" spans="1:25" ht="17.25" thickTop="1" thickBot="1" x14ac:dyDescent="0.3">
      <c r="A105" s="180" t="str">
        <f>C98</f>
        <v>5*6min/3min</v>
      </c>
      <c r="B105" s="181"/>
      <c r="C105" s="181"/>
      <c r="D105" s="181"/>
      <c r="E105" s="181"/>
      <c r="F105" s="182"/>
      <c r="G105" s="183" t="str">
        <f>IF(Alkukysely!$E$4&gt;1,VLOOKUP(A93,Kovat23,37,1),VLOOKUP(A93,Kovat1,35,1))</f>
        <v>20 min alkulämppä + 15 min. loppujäähdyttely</v>
      </c>
      <c r="H105" s="184"/>
      <c r="I105" s="185"/>
    </row>
    <row r="106" spans="1:25" ht="17.25" thickTop="1" thickBot="1" x14ac:dyDescent="0.3">
      <c r="A106" s="189" t="str">
        <f>IF(Alkukysely!$E$4&gt;1,VLOOKUP(A93,Kovat23,36,1),VLOOKUP(A93,Kovat1,34,1))</f>
        <v xml:space="preserve">Tavoiteteho on sama kuin viime viikolla, mutta harjoituksen haastavuutta nostetaan kasvattamalla intervallin pituutta minuutilla. </v>
      </c>
      <c r="B106" s="190"/>
      <c r="C106" s="190"/>
      <c r="D106" s="190"/>
      <c r="E106" s="190"/>
      <c r="F106" s="190"/>
      <c r="G106" s="183"/>
      <c r="H106" s="184"/>
      <c r="I106" s="185"/>
    </row>
    <row r="107" spans="1:25" ht="17.25" thickTop="1" thickBot="1" x14ac:dyDescent="0.3">
      <c r="A107" s="189"/>
      <c r="B107" s="190"/>
      <c r="C107" s="190"/>
      <c r="D107" s="190"/>
      <c r="E107" s="190"/>
      <c r="F107" s="190"/>
      <c r="G107" s="183"/>
      <c r="H107" s="184"/>
      <c r="I107" s="185"/>
    </row>
    <row r="108" spans="1:25" ht="27.75" customHeight="1" thickTop="1" thickBot="1" x14ac:dyDescent="0.3">
      <c r="A108" s="191"/>
      <c r="B108" s="192"/>
      <c r="C108" s="192"/>
      <c r="D108" s="192"/>
      <c r="E108" s="192"/>
      <c r="F108" s="192"/>
      <c r="G108" s="186"/>
      <c r="H108" s="187"/>
      <c r="I108" s="188"/>
    </row>
    <row r="109" spans="1:25" x14ac:dyDescent="0.25">
      <c r="A109" s="145" t="str">
        <f>VLOOKUP(A111,Kausisuunnitelma,5,1)</f>
        <v>Kova 3</v>
      </c>
      <c r="B109" s="147" t="s">
        <v>108</v>
      </c>
      <c r="C109" s="146" t="str">
        <f>VLOOKUP(A111,Kausisuunnitelma,3,1)</f>
        <v>MK pitkä</v>
      </c>
      <c r="D109" s="124"/>
      <c r="E109" s="147">
        <f>VLOOKUP(A111,Kausisuunnitelma,6,1)</f>
        <v>3</v>
      </c>
      <c r="F109" s="209" t="s">
        <v>209</v>
      </c>
      <c r="G109" s="209"/>
      <c r="H109" s="210" t="s">
        <v>210</v>
      </c>
      <c r="I109" s="211"/>
      <c r="U109" s="118"/>
      <c r="V109" s="118"/>
    </row>
    <row r="110" spans="1:25" ht="48" thickBot="1" x14ac:dyDescent="0.3">
      <c r="A110" s="125" t="s">
        <v>107</v>
      </c>
      <c r="B110" s="128">
        <f>WEEKNUM(A111,21)</f>
        <v>50</v>
      </c>
      <c r="C110" s="130" t="s">
        <v>70</v>
      </c>
      <c r="D110" s="129" t="s">
        <v>71</v>
      </c>
      <c r="E110" s="142" t="s">
        <v>159</v>
      </c>
      <c r="F110" s="121" t="s">
        <v>12</v>
      </c>
      <c r="G110" s="121" t="s">
        <v>13</v>
      </c>
      <c r="H110" s="122" t="s">
        <v>12</v>
      </c>
      <c r="I110" s="123" t="s">
        <v>13</v>
      </c>
      <c r="J110" s="2"/>
      <c r="K110" s="2"/>
      <c r="L110" s="2"/>
      <c r="M110" s="2"/>
      <c r="N110" s="2"/>
      <c r="O110" s="2"/>
      <c r="P110" s="2"/>
      <c r="Q110" s="2"/>
      <c r="R110" s="2"/>
      <c r="S110" s="2"/>
      <c r="T110" s="2" t="s">
        <v>160</v>
      </c>
    </row>
    <row r="111" spans="1:25" x14ac:dyDescent="0.25">
      <c r="A111" s="132">
        <f>A99+1</f>
        <v>44172</v>
      </c>
      <c r="B111" s="133">
        <f t="shared" ref="B111:B117" si="18">A111</f>
        <v>44172</v>
      </c>
      <c r="C111" s="134" t="str">
        <f>VLOOKUP(Y111,Intensiteettikoodi,2,1)</f>
        <v>Lepo</v>
      </c>
      <c r="D111" s="135" t="str">
        <f>IF(Alkukysely!$F$4&gt;1, "Puntti","-")</f>
        <v>-</v>
      </c>
      <c r="E111" s="143">
        <f>IF(E109&gt;0,ROUND(S111*X117,-1),VLOOKUP(Alkukysely!$E$4,Kevytkesto,2,1))</f>
        <v>0</v>
      </c>
      <c r="F111" s="136">
        <f ca="1">VLOOKUP(Y111,Intensiteettikoodi,3,1)*Harjoitusalueet!$C$5</f>
        <v>0</v>
      </c>
      <c r="G111" s="136">
        <f ca="1">VLOOKUP(Y111,Intensiteettikoodi,4,1)*Harjoitusalueet!$C$5</f>
        <v>0</v>
      </c>
      <c r="H111" s="137" t="e">
        <f t="shared" ref="H111:H117" ca="1" si="19">TIME(0,0,((2.8/F111)^(1/3))*500)</f>
        <v>#DIV/0!</v>
      </c>
      <c r="I111" s="138" t="e">
        <f ca="1">TIME(0,0,((2.8/G111)^(1/3))*500)</f>
        <v>#DIV/0!</v>
      </c>
      <c r="R111" s="119"/>
      <c r="S111" s="51">
        <f>VLOOKUP(Alkukysely!$E$4,Keskikesto,2,1)</f>
        <v>0</v>
      </c>
      <c r="Y111">
        <f>IF(E109&gt;0,VLOOKUP(Alkukysely!$E$4,Intensiteettinumero,2,1),VLOOKUP(Alkukysely!$E$4,Kevytnum,2,1))</f>
        <v>0</v>
      </c>
    </row>
    <row r="112" spans="1:25" x14ac:dyDescent="0.25">
      <c r="A112" s="126">
        <f t="shared" ref="A112:A117" si="20">A111+1</f>
        <v>44173</v>
      </c>
      <c r="B112" s="127">
        <f t="shared" si="18"/>
        <v>44173</v>
      </c>
      <c r="C112" s="131" t="str">
        <f>VLOOKUP(Y112,Intensiteettikoodi,2,1)</f>
        <v>Peruskestävyys</v>
      </c>
      <c r="D112" s="120"/>
      <c r="E112" s="144">
        <f>IF(E109&gt;0,ROUND(S112*X117,-1),VLOOKUP(Alkukysely!$E$4,Kevytkesto,3,1))</f>
        <v>50</v>
      </c>
      <c r="F112" s="139">
        <f ca="1">VLOOKUP(Y112,Intensiteettikoodi,3,1)*Harjoitusalueet!$C$5</f>
        <v>0</v>
      </c>
      <c r="G112" s="139">
        <f ca="1">VLOOKUP(Y112,Intensiteettikoodi,4,1)*Harjoitusalueet!$C$5</f>
        <v>0</v>
      </c>
      <c r="H112" s="140" t="e">
        <f t="shared" ca="1" si="19"/>
        <v>#DIV/0!</v>
      </c>
      <c r="I112" s="141" t="e">
        <f ca="1">TIME(0,0,((2.8/G112)^(1/3))*500)</f>
        <v>#DIV/0!</v>
      </c>
      <c r="R112" s="119"/>
      <c r="S112" s="51">
        <f>VLOOKUP(Alkukysely!$E$4,Keskikesto,3,1)</f>
        <v>50</v>
      </c>
      <c r="Y112">
        <f>IF(E109&gt;0,VLOOKUP(Alkukysely!$E$4,Intensiteettinumero,3,1),VLOOKUP(Alkukysely!$E$4,Kevytnum,3,1))</f>
        <v>2</v>
      </c>
    </row>
    <row r="113" spans="1:25" x14ac:dyDescent="0.25">
      <c r="A113" s="126">
        <f t="shared" si="20"/>
        <v>44174</v>
      </c>
      <c r="B113" s="127">
        <f t="shared" si="18"/>
        <v>44174</v>
      </c>
      <c r="C113" s="131" t="str">
        <f>IF(Y113=4,T113,VLOOKUP(Y113,Intensiteettikoodi,2,1))</f>
        <v>Peruskestävyys</v>
      </c>
      <c r="D113" s="120"/>
      <c r="E113" s="144">
        <f>IF(E109&gt;0,ROUND(S113*X117,-1),VLOOKUP(Alkukysely!$E$4,Kevytkesto,4,1))</f>
        <v>60</v>
      </c>
      <c r="F113" s="212">
        <f ca="1">IF(Alkukysely!$E$4&gt;1,VLOOKUP('Viikko-ohjelma'!A111,Kovat23,11,1),VLOOKUP(Y113,Intensiteettikoodi,3,1)*Harjoitusalueet!$C$5)</f>
        <v>0</v>
      </c>
      <c r="G113" s="212"/>
      <c r="H113" s="213" t="e">
        <f t="shared" ca="1" si="19"/>
        <v>#DIV/0!</v>
      </c>
      <c r="I113" s="214"/>
      <c r="R113" s="119"/>
      <c r="S113" s="51">
        <f>VLOOKUP(Alkukysely!$E$4,Keskikesto,4,1)</f>
        <v>62.5</v>
      </c>
      <c r="T113" t="str">
        <f>IF(Alkukysely!$E$4&gt;1,VLOOKUP('Viikko-ohjelma'!A111,Kovat23,8,1),C113)</f>
        <v>Peruskestävyys</v>
      </c>
      <c r="Y113">
        <f>IF(E109&gt;0,VLOOKUP(Alkukysely!$E$4,Intensiteettinumero,4,1),VLOOKUP(Alkukysely!$E$4,Kevytnum,4,1))</f>
        <v>2</v>
      </c>
    </row>
    <row r="114" spans="1:25" x14ac:dyDescent="0.25">
      <c r="A114" s="126">
        <f t="shared" si="20"/>
        <v>44175</v>
      </c>
      <c r="B114" s="127">
        <f t="shared" si="18"/>
        <v>44175</v>
      </c>
      <c r="C114" s="131" t="str">
        <f>VLOOKUP(Y114,Intensiteettikoodi,2,1)</f>
        <v>Lepo</v>
      </c>
      <c r="D114" s="120" t="str">
        <f>IF(AND(Alkukysely!$F$4&gt;2,E109&gt;0), "Puntti","-")</f>
        <v>-</v>
      </c>
      <c r="E114" s="144">
        <f>IF(E109&gt;0,ROUND(S114*X117,-1),VLOOKUP(Alkukysely!$E$4,Kevytkesto,5,1))</f>
        <v>0</v>
      </c>
      <c r="F114" s="139">
        <f ca="1">VLOOKUP(Y114,Intensiteettikoodi,3,1)*Harjoitusalueet!$C$5</f>
        <v>0</v>
      </c>
      <c r="G114" s="139">
        <f ca="1">VLOOKUP(Y114,Intensiteettikoodi,4,1)*Harjoitusalueet!$C$5</f>
        <v>0</v>
      </c>
      <c r="H114" s="140" t="e">
        <f t="shared" ca="1" si="19"/>
        <v>#DIV/0!</v>
      </c>
      <c r="I114" s="141" t="e">
        <f ca="1">TIME(0,0,((2.8/G114)^(1/3))*500)</f>
        <v>#DIV/0!</v>
      </c>
      <c r="R114" s="119"/>
      <c r="S114" s="51">
        <f>VLOOKUP(Alkukysely!$E$4,Keskikesto,5,1)</f>
        <v>0</v>
      </c>
      <c r="X114" s="46"/>
      <c r="Y114">
        <f>IF(E109&gt;0,VLOOKUP(Alkukysely!$E$4,Intensiteettinumero,5,1),VLOOKUP(Alkukysely!$E$4,Kevytnum,5,1))</f>
        <v>0</v>
      </c>
    </row>
    <row r="115" spans="1:25" x14ac:dyDescent="0.25">
      <c r="A115" s="126">
        <f t="shared" si="20"/>
        <v>44176</v>
      </c>
      <c r="B115" s="127">
        <f t="shared" si="18"/>
        <v>44176</v>
      </c>
      <c r="C115" s="131" t="str">
        <f>VLOOKUP(Y115,Intensiteettikoodi,2,1)</f>
        <v>Lepo</v>
      </c>
      <c r="D115" s="120"/>
      <c r="E115" s="144">
        <f>IF(E109&gt;0,ROUND(S115*X117,-1),VLOOKUP(Alkukysely!$E$4,Kevytkesto,6,1))</f>
        <v>0</v>
      </c>
      <c r="F115" s="139">
        <f ca="1">VLOOKUP(Y115,Intensiteettikoodi,3,1)*Harjoitusalueet!$C$5</f>
        <v>0</v>
      </c>
      <c r="G115" s="139">
        <f ca="1">VLOOKUP(Y115,Intensiteettikoodi,4,1)*Harjoitusalueet!$C$5</f>
        <v>0</v>
      </c>
      <c r="H115" s="140" t="e">
        <f t="shared" ca="1" si="19"/>
        <v>#DIV/0!</v>
      </c>
      <c r="I115" s="141" t="e">
        <f ca="1">TIME(0,0,((2.8/G115)^(1/3))*500)</f>
        <v>#DIV/0!</v>
      </c>
      <c r="R115" s="119"/>
      <c r="S115" s="51">
        <f>VLOOKUP(Alkukysely!$E$4,Keskikesto,6,1)</f>
        <v>0</v>
      </c>
      <c r="X115" s="46"/>
      <c r="Y115">
        <f>IF(E109&gt;0,VLOOKUP(Alkukysely!$E$4,Intensiteettinumero,6,1),VLOOKUP(Alkukysely!$E$4,Kevytnum,6,1))</f>
        <v>0</v>
      </c>
    </row>
    <row r="116" spans="1:25" x14ac:dyDescent="0.25">
      <c r="A116" s="126">
        <f t="shared" si="20"/>
        <v>44177</v>
      </c>
      <c r="B116" s="127">
        <f t="shared" si="18"/>
        <v>44177</v>
      </c>
      <c r="C116" s="131" t="str">
        <f>IF(Y116=4,T116,VLOOKUP(Y116,Intensiteettikoodi,2,1))</f>
        <v>6*6min/3min</v>
      </c>
      <c r="D116" s="120"/>
      <c r="E116" s="144">
        <f>IF(E109&gt;0,ROUND(S116*X117,-1),VLOOKUP(Alkukysely!$E$4,Kevytkesto,7,1))</f>
        <v>60</v>
      </c>
      <c r="F116" s="212">
        <f ca="1">IF(Alkukysely!$E$4&gt;1,VLOOKUP('Viikko-ohjelma'!A111,Kovat23,24,1),VLOOKUP(A111,Kovat1,11,1))</f>
        <v>0</v>
      </c>
      <c r="G116" s="212"/>
      <c r="H116" s="213" t="e">
        <f t="shared" ca="1" si="19"/>
        <v>#DIV/0!</v>
      </c>
      <c r="I116" s="214"/>
      <c r="R116" s="119"/>
      <c r="S116" s="51">
        <f>VLOOKUP(Alkukysely!$E$4,Keskikesto,7,1)</f>
        <v>67.5</v>
      </c>
      <c r="T116" t="str">
        <f>IF(Alkukysely!$E$4&gt;1,VLOOKUP('Viikko-ohjelma'!A111,Kovat23,21,1),VLOOKUP(A111,Kovat1,8,1))</f>
        <v>6*6min/3min</v>
      </c>
      <c r="Y116">
        <f>IF(E109&gt;0,VLOOKUP(Alkukysely!$E$4,Intensiteettinumero,7,1),VLOOKUP(Alkukysely!$E$4,Kevytnum,7,1))</f>
        <v>4</v>
      </c>
    </row>
    <row r="117" spans="1:25" ht="43.5" customHeight="1" thickBot="1" x14ac:dyDescent="0.3">
      <c r="A117" s="126">
        <f t="shared" si="20"/>
        <v>44178</v>
      </c>
      <c r="B117" s="127">
        <f t="shared" si="18"/>
        <v>44178</v>
      </c>
      <c r="C117" s="131" t="str">
        <f>VLOOKUP(Y117,Intensiteettikoodi,2,1)</f>
        <v>Pitkä peruskestävyys</v>
      </c>
      <c r="D117" s="120"/>
      <c r="E117" s="144">
        <f>IF(E109&gt;0,ROUND(S117*X117,-1),VLOOKUP(Alkukysely!$E$4,Kevytkesto,8,1))</f>
        <v>120</v>
      </c>
      <c r="F117" s="139">
        <f ca="1">VLOOKUP(Y117,Intensiteettikoodi,3,1)*Harjoitusalueet!$C$5</f>
        <v>0</v>
      </c>
      <c r="G117" s="139">
        <f ca="1">VLOOKUP(Y117,Intensiteettikoodi,4,1)*Harjoitusalueet!$C$5</f>
        <v>0</v>
      </c>
      <c r="H117" s="140" t="e">
        <f t="shared" ca="1" si="19"/>
        <v>#DIV/0!</v>
      </c>
      <c r="I117" s="141" t="e">
        <f ca="1">TIME(0,0,((2.8/G117)^(1/3))*500)</f>
        <v>#DIV/0!</v>
      </c>
      <c r="R117" s="119"/>
      <c r="S117" s="51">
        <f>VLOOKUP(Alkukysely!$E$4,Keskikesto,8,1)</f>
        <v>120</v>
      </c>
      <c r="V117">
        <f>VLOOKUP(A111,Kausisuunnitelma,7,1)</f>
        <v>4.8000000000000007</v>
      </c>
      <c r="W117">
        <f>VLOOKUP(Alkukysely!$E$4,Keskikesto,10)</f>
        <v>5</v>
      </c>
      <c r="X117">
        <f>V117/W117</f>
        <v>0.96000000000000019</v>
      </c>
      <c r="Y117">
        <f>IF(E109&gt;0,VLOOKUP(Alkukysely!$E$4,Intensiteettinumero,8,1),VLOOKUP(Alkukysely!$E$4,Kevytnum,8,1))</f>
        <v>3</v>
      </c>
    </row>
    <row r="118" spans="1:25" ht="14.25" customHeight="1" x14ac:dyDescent="0.25">
      <c r="A118" s="193" t="s">
        <v>207</v>
      </c>
      <c r="B118" s="194"/>
      <c r="C118" s="194"/>
      <c r="D118" s="194"/>
      <c r="E118" s="194"/>
      <c r="F118" s="195"/>
      <c r="G118" s="196" t="s">
        <v>208</v>
      </c>
      <c r="H118" s="197"/>
      <c r="I118" s="198"/>
    </row>
    <row r="119" spans="1:25" ht="16.5" customHeight="1" x14ac:dyDescent="0.25">
      <c r="A119" s="180" t="str">
        <f>C113</f>
        <v>Peruskestävyys</v>
      </c>
      <c r="B119" s="181"/>
      <c r="C119" s="181"/>
      <c r="D119" s="181"/>
      <c r="E119" s="181"/>
      <c r="F119" s="202"/>
      <c r="G119" s="199"/>
      <c r="H119" s="200"/>
      <c r="I119" s="201"/>
    </row>
    <row r="120" spans="1:25" ht="16.5" customHeight="1" x14ac:dyDescent="0.25">
      <c r="A120" s="184" t="str">
        <f>IF(Alkukysely!$E$4&gt;1,VLOOKUP(A111,Kovat23,34,1),"-")</f>
        <v>-</v>
      </c>
      <c r="B120" s="184"/>
      <c r="C120" s="184"/>
      <c r="D120" s="184"/>
      <c r="E120" s="184"/>
      <c r="F120" s="203"/>
      <c r="G120" s="183" t="str">
        <f>IF(Alkukysely!$E$4&gt;1,VLOOKUP(A111,Kovat23,35,1),"-")</f>
        <v>-</v>
      </c>
      <c r="H120" s="184"/>
      <c r="I120" s="185"/>
    </row>
    <row r="121" spans="1:25" ht="25.5" customHeight="1" x14ac:dyDescent="0.25">
      <c r="A121" s="184"/>
      <c r="B121" s="184"/>
      <c r="C121" s="184"/>
      <c r="D121" s="184"/>
      <c r="E121" s="184"/>
      <c r="F121" s="203"/>
      <c r="G121" s="183"/>
      <c r="H121" s="184"/>
      <c r="I121" s="185"/>
    </row>
    <row r="122" spans="1:25" ht="42.75" customHeight="1" thickBot="1" x14ac:dyDescent="0.3">
      <c r="A122" s="204"/>
      <c r="B122" s="204"/>
      <c r="C122" s="204"/>
      <c r="D122" s="204"/>
      <c r="E122" s="204"/>
      <c r="F122" s="205"/>
      <c r="G122" s="206"/>
      <c r="H122" s="207"/>
      <c r="I122" s="208"/>
    </row>
    <row r="123" spans="1:25" ht="19.5" customHeight="1" thickTop="1" thickBot="1" x14ac:dyDescent="0.3">
      <c r="A123" s="180" t="str">
        <f>C116</f>
        <v>6*6min/3min</v>
      </c>
      <c r="B123" s="181"/>
      <c r="C123" s="181"/>
      <c r="D123" s="181"/>
      <c r="E123" s="181"/>
      <c r="F123" s="182"/>
      <c r="G123" s="183" t="str">
        <f>IF(Alkukysely!$E$4&gt;1,VLOOKUP(A111,Kovat23,37,1),VLOOKUP(A111,Kovat1,35,1))</f>
        <v>20 min alkulämppä + 15 min. loppujäähdyttely</v>
      </c>
      <c r="H123" s="184"/>
      <c r="I123" s="185"/>
    </row>
    <row r="124" spans="1:25" ht="28.5" customHeight="1" thickTop="1" thickBot="1" x14ac:dyDescent="0.3">
      <c r="A124" s="189" t="str">
        <f>IF(Alkukysely!$E$4&gt;1,VLOOKUP(A111,Kovat23,36,1),VLOOKUP(A111,Kovat1,34,1))</f>
        <v xml:space="preserve">Tavoiteteho on sama kuin viime viikolla, mutta harjoituksen haastavuutta nostetaan kasvattamalla intervallin pituutta minuutilla. </v>
      </c>
      <c r="B124" s="190"/>
      <c r="C124" s="190"/>
      <c r="D124" s="190"/>
      <c r="E124" s="190"/>
      <c r="F124" s="190"/>
      <c r="G124" s="183"/>
      <c r="H124" s="184"/>
      <c r="I124" s="185"/>
    </row>
    <row r="125" spans="1:25" ht="34.5" customHeight="1" thickTop="1" thickBot="1" x14ac:dyDescent="0.3">
      <c r="A125" s="189"/>
      <c r="B125" s="190"/>
      <c r="C125" s="190"/>
      <c r="D125" s="190"/>
      <c r="E125" s="190"/>
      <c r="F125" s="190"/>
      <c r="G125" s="183"/>
      <c r="H125" s="184"/>
      <c r="I125" s="185"/>
    </row>
    <row r="126" spans="1:25" ht="69.75" customHeight="1" thickTop="1" thickBot="1" x14ac:dyDescent="0.3">
      <c r="A126" s="191"/>
      <c r="B126" s="192"/>
      <c r="C126" s="192"/>
      <c r="D126" s="192"/>
      <c r="E126" s="192"/>
      <c r="F126" s="192"/>
      <c r="G126" s="186"/>
      <c r="H126" s="187"/>
      <c r="I126" s="188"/>
    </row>
    <row r="127" spans="1:25" x14ac:dyDescent="0.25">
      <c r="A127" s="145" t="str">
        <f>VLOOKUP(A129,Kausisuunnitelma,5,1)</f>
        <v>Kevyt</v>
      </c>
      <c r="B127" s="147" t="s">
        <v>108</v>
      </c>
      <c r="C127" s="146" t="str">
        <f>VLOOKUP(A129,Kausisuunnitelma,3,1)</f>
        <v>MK pitkä</v>
      </c>
      <c r="D127" s="124"/>
      <c r="E127" s="147">
        <f>VLOOKUP(A129,Kausisuunnitelma,6,1)</f>
        <v>0</v>
      </c>
      <c r="F127" s="209" t="s">
        <v>209</v>
      </c>
      <c r="G127" s="209"/>
      <c r="H127" s="210" t="s">
        <v>210</v>
      </c>
      <c r="I127" s="211"/>
      <c r="U127" s="118"/>
      <c r="V127" s="118"/>
    </row>
    <row r="128" spans="1:25" ht="48" thickBot="1" x14ac:dyDescent="0.3">
      <c r="A128" s="125" t="s">
        <v>107</v>
      </c>
      <c r="B128" s="128">
        <f>WEEKNUM(A129,21)</f>
        <v>51</v>
      </c>
      <c r="C128" s="130" t="s">
        <v>70</v>
      </c>
      <c r="D128" s="129" t="s">
        <v>71</v>
      </c>
      <c r="E128" s="142" t="s">
        <v>159</v>
      </c>
      <c r="F128" s="121" t="s">
        <v>12</v>
      </c>
      <c r="G128" s="121" t="s">
        <v>13</v>
      </c>
      <c r="H128" s="122" t="s">
        <v>12</v>
      </c>
      <c r="I128" s="123" t="s">
        <v>13</v>
      </c>
      <c r="J128" s="2"/>
      <c r="K128" s="2"/>
      <c r="L128" s="2"/>
      <c r="M128" s="2"/>
      <c r="N128" s="2"/>
      <c r="O128" s="2"/>
      <c r="P128" s="2"/>
      <c r="Q128" s="2"/>
      <c r="R128" s="2"/>
      <c r="S128" s="2"/>
      <c r="T128" s="2" t="s">
        <v>160</v>
      </c>
    </row>
    <row r="129" spans="1:25" x14ac:dyDescent="0.25">
      <c r="A129" s="132">
        <f>A117+1</f>
        <v>44179</v>
      </c>
      <c r="B129" s="133">
        <f t="shared" ref="B129:B135" si="21">A129</f>
        <v>44179</v>
      </c>
      <c r="C129" s="134" t="str">
        <f>VLOOKUP(Y129,Intensiteettikoodi,2,1)</f>
        <v>Lepo</v>
      </c>
      <c r="D129" s="135" t="str">
        <f>IF(Alkukysely!$F$4&gt;1, "Puntti","-")</f>
        <v>-</v>
      </c>
      <c r="E129" s="143">
        <f>IF(E127&gt;0,ROUND(S129*X135,-1),VLOOKUP(Alkukysely!$E$4,Kevytkesto,2,1))</f>
        <v>0</v>
      </c>
      <c r="F129" s="136">
        <f ca="1">VLOOKUP(Y129,Intensiteettikoodi,3,1)*Harjoitusalueet!$C$5</f>
        <v>0</v>
      </c>
      <c r="G129" s="136">
        <f ca="1">VLOOKUP(Y129,Intensiteettikoodi,4,1)*Harjoitusalueet!$C$5</f>
        <v>0</v>
      </c>
      <c r="H129" s="137" t="e">
        <f t="shared" ref="H129:H135" ca="1" si="22">TIME(0,0,((2.8/F129)^(1/3))*500)</f>
        <v>#DIV/0!</v>
      </c>
      <c r="I129" s="138" t="e">
        <f ca="1">TIME(0,0,((2.8/G129)^(1/3))*500)</f>
        <v>#DIV/0!</v>
      </c>
      <c r="R129" s="119"/>
      <c r="S129" s="51">
        <f>VLOOKUP(Alkukysely!$E$4,Keskikesto,2,1)</f>
        <v>0</v>
      </c>
      <c r="Y129">
        <f>IF(E127&gt;0,VLOOKUP(Alkukysely!$E$4,Intensiteettinumero,2,1),VLOOKUP(Alkukysely!$E$4,Kevytnum,2,1))</f>
        <v>0</v>
      </c>
    </row>
    <row r="130" spans="1:25" x14ac:dyDescent="0.25">
      <c r="A130" s="126">
        <f t="shared" ref="A130:A135" si="23">A129+1</f>
        <v>44180</v>
      </c>
      <c r="B130" s="127">
        <f t="shared" si="21"/>
        <v>44180</v>
      </c>
      <c r="C130" s="131" t="str">
        <f>VLOOKUP(Y130,Intensiteettikoodi,2,1)</f>
        <v>Lepo</v>
      </c>
      <c r="D130" s="120"/>
      <c r="E130" s="144">
        <f>IF(E127&gt;0,ROUND(S130*X135,-1),VLOOKUP(Alkukysely!$E$4,Kevytkesto,3,1))</f>
        <v>0</v>
      </c>
      <c r="F130" s="139">
        <f ca="1">VLOOKUP(Y130,Intensiteettikoodi,3,1)*Harjoitusalueet!$C$5</f>
        <v>0</v>
      </c>
      <c r="G130" s="139">
        <f ca="1">VLOOKUP(Y130,Intensiteettikoodi,4,1)*Harjoitusalueet!$C$5</f>
        <v>0</v>
      </c>
      <c r="H130" s="140" t="e">
        <f t="shared" ca="1" si="22"/>
        <v>#DIV/0!</v>
      </c>
      <c r="I130" s="141" t="e">
        <f ca="1">TIME(0,0,((2.8/G130)^(1/3))*500)</f>
        <v>#DIV/0!</v>
      </c>
      <c r="R130" s="119"/>
      <c r="S130" s="51">
        <f>VLOOKUP(Alkukysely!$E$4,Keskikesto,3,1)</f>
        <v>50</v>
      </c>
      <c r="Y130">
        <f>IF(E127&gt;0,VLOOKUP(Alkukysely!$E$4,Intensiteettinumero,3,1),VLOOKUP(Alkukysely!$E$4,Kevytnum,3,1))</f>
        <v>0</v>
      </c>
    </row>
    <row r="131" spans="1:25" x14ac:dyDescent="0.25">
      <c r="A131" s="126">
        <f t="shared" si="23"/>
        <v>44181</v>
      </c>
      <c r="B131" s="127">
        <f t="shared" si="21"/>
        <v>44181</v>
      </c>
      <c r="C131" s="131" t="str">
        <f>IF(Y131=4,T131,VLOOKUP(Y131,Intensiteettikoodi,2,1))</f>
        <v>Peruskestävyys</v>
      </c>
      <c r="D131" s="120"/>
      <c r="E131" s="144">
        <f>IF(E127&gt;0,ROUND(S131*X135,-1),VLOOKUP(Alkukysely!$E$4,Kevytkesto,4,1))</f>
        <v>60</v>
      </c>
      <c r="F131" s="212">
        <f ca="1">IF(Alkukysely!$E$4&gt;1,VLOOKUP('Viikko-ohjelma'!A129,Kovat23,11,1),VLOOKUP(Y131,Intensiteettikoodi,3,1)*Harjoitusalueet!$C$5)</f>
        <v>0</v>
      </c>
      <c r="G131" s="212"/>
      <c r="H131" s="213" t="e">
        <f t="shared" ca="1" si="22"/>
        <v>#DIV/0!</v>
      </c>
      <c r="I131" s="214"/>
      <c r="R131" s="119"/>
      <c r="S131" s="51">
        <f>VLOOKUP(Alkukysely!$E$4,Keskikesto,4,1)</f>
        <v>62.5</v>
      </c>
      <c r="T131" t="str">
        <f>IF(Alkukysely!$E$4&gt;1,VLOOKUP('Viikko-ohjelma'!A129,Kovat23,8,1),C131)</f>
        <v>Peruskestävyys</v>
      </c>
      <c r="Y131">
        <f>IF(E127&gt;0,VLOOKUP(Alkukysely!$E$4,Intensiteettinumero,4,1),VLOOKUP(Alkukysely!$E$4,Kevytnum,4,1))</f>
        <v>2</v>
      </c>
    </row>
    <row r="132" spans="1:25" x14ac:dyDescent="0.25">
      <c r="A132" s="126">
        <f t="shared" si="23"/>
        <v>44182</v>
      </c>
      <c r="B132" s="127">
        <f t="shared" si="21"/>
        <v>44182</v>
      </c>
      <c r="C132" s="131" t="str">
        <f>VLOOKUP(Y132,Intensiteettikoodi,2,1)</f>
        <v>Lepo</v>
      </c>
      <c r="D132" s="120" t="str">
        <f>IF(AND(Alkukysely!$F$4&gt;2,E127&gt;0), "Puntti","-")</f>
        <v>-</v>
      </c>
      <c r="E132" s="144">
        <f>IF(E127&gt;0,ROUND(S132*X135,-1),VLOOKUP(Alkukysely!$E$4,Kevytkesto,5,1))</f>
        <v>0</v>
      </c>
      <c r="F132" s="139">
        <f ca="1">VLOOKUP(Y132,Intensiteettikoodi,3,1)*Harjoitusalueet!$C$5</f>
        <v>0</v>
      </c>
      <c r="G132" s="139">
        <f ca="1">VLOOKUP(Y132,Intensiteettikoodi,4,1)*Harjoitusalueet!$C$5</f>
        <v>0</v>
      </c>
      <c r="H132" s="140" t="e">
        <f t="shared" ca="1" si="22"/>
        <v>#DIV/0!</v>
      </c>
      <c r="I132" s="141" t="e">
        <f ca="1">TIME(0,0,((2.8/G132)^(1/3))*500)</f>
        <v>#DIV/0!</v>
      </c>
      <c r="R132" s="119"/>
      <c r="S132" s="51">
        <f>VLOOKUP(Alkukysely!$E$4,Keskikesto,5,1)</f>
        <v>0</v>
      </c>
      <c r="X132" s="46"/>
      <c r="Y132">
        <f>IF(E127&gt;0,VLOOKUP(Alkukysely!$E$4,Intensiteettinumero,5,1),VLOOKUP(Alkukysely!$E$4,Kevytnum,5,1))</f>
        <v>0</v>
      </c>
    </row>
    <row r="133" spans="1:25" x14ac:dyDescent="0.25">
      <c r="A133" s="126">
        <f t="shared" si="23"/>
        <v>44183</v>
      </c>
      <c r="B133" s="127">
        <f t="shared" si="21"/>
        <v>44183</v>
      </c>
      <c r="C133" s="131" t="str">
        <f>VLOOKUP(Y133,Intensiteettikoodi,2,1)</f>
        <v>Palauttava</v>
      </c>
      <c r="D133" s="120"/>
      <c r="E133" s="144">
        <f>IF(E127&gt;0,ROUND(S133*X135,-1),VLOOKUP(Alkukysely!$E$4,Kevytkesto,6,1))</f>
        <v>45</v>
      </c>
      <c r="F133" s="139">
        <f ca="1">VLOOKUP(Y133,Intensiteettikoodi,3,1)*Harjoitusalueet!$C$5</f>
        <v>0</v>
      </c>
      <c r="G133" s="139">
        <f ca="1">VLOOKUP(Y133,Intensiteettikoodi,4,1)*Harjoitusalueet!$C$5</f>
        <v>0</v>
      </c>
      <c r="H133" s="140" t="e">
        <f t="shared" ca="1" si="22"/>
        <v>#DIV/0!</v>
      </c>
      <c r="I133" s="141" t="e">
        <f ca="1">TIME(0,0,((2.8/G133)^(1/3))*500)</f>
        <v>#DIV/0!</v>
      </c>
      <c r="R133" s="119"/>
      <c r="S133" s="51">
        <f>VLOOKUP(Alkukysely!$E$4,Keskikesto,6,1)</f>
        <v>0</v>
      </c>
      <c r="X133" s="46"/>
      <c r="Y133">
        <f>IF(E127&gt;0,VLOOKUP(Alkukysely!$E$4,Intensiteettinumero,6,1),VLOOKUP(Alkukysely!$E$4,Kevytnum,6,1))</f>
        <v>1</v>
      </c>
    </row>
    <row r="134" spans="1:25" x14ac:dyDescent="0.25">
      <c r="A134" s="126">
        <f t="shared" si="23"/>
        <v>44184</v>
      </c>
      <c r="B134" s="127">
        <f t="shared" si="21"/>
        <v>44184</v>
      </c>
      <c r="C134" s="131" t="str">
        <f>IF(Y134=4,T134,VLOOKUP(Y134,Intensiteettikoodi,2,1))</f>
        <v>Lepo</v>
      </c>
      <c r="D134" s="120"/>
      <c r="E134" s="144">
        <f>IF(E127&gt;0,ROUND(S134*X135,-1),VLOOKUP(Alkukysely!$E$4,Kevytkesto,7,1))</f>
        <v>0</v>
      </c>
      <c r="F134" s="212">
        <f>IF(Alkukysely!$E$4&gt;1,VLOOKUP('Viikko-ohjelma'!A129,Kovat23,24,1),VLOOKUP(A129,Kovat1,11,1))</f>
        <v>0</v>
      </c>
      <c r="G134" s="212"/>
      <c r="H134" s="213" t="e">
        <f t="shared" si="22"/>
        <v>#DIV/0!</v>
      </c>
      <c r="I134" s="214"/>
      <c r="R134" s="119"/>
      <c r="S134" s="51">
        <f>VLOOKUP(Alkukysely!$E$4,Keskikesto,7,1)</f>
        <v>67.5</v>
      </c>
      <c r="T134" t="str">
        <f>IF(Alkukysely!$E$4&gt;1,VLOOKUP('Viikko-ohjelma'!A129,Kovat23,21,1),VLOOKUP(A129,Kovat1,8,1))</f>
        <v>LEPO</v>
      </c>
      <c r="Y134">
        <f>IF(E127&gt;0,VLOOKUP(Alkukysely!$E$4,Intensiteettinumero,7,1),VLOOKUP(Alkukysely!$E$4,Kevytnum,7,1))</f>
        <v>0</v>
      </c>
    </row>
    <row r="135" spans="1:25" x14ac:dyDescent="0.25">
      <c r="A135" s="126">
        <f t="shared" si="23"/>
        <v>44185</v>
      </c>
      <c r="B135" s="127">
        <f t="shared" si="21"/>
        <v>44185</v>
      </c>
      <c r="C135" s="131" t="str">
        <f>VLOOKUP(Y135,Intensiteettikoodi,2,1)</f>
        <v>Pitkä peruskestävyys</v>
      </c>
      <c r="D135" s="120"/>
      <c r="E135" s="144">
        <f>IF(E127&gt;0,ROUND(S135*X135,-1),VLOOKUP(Alkukysely!$E$4,Kevytkesto,8,1))</f>
        <v>75</v>
      </c>
      <c r="F135" s="139">
        <f ca="1">VLOOKUP(Y135,Intensiteettikoodi,3,1)*Harjoitusalueet!$C$5</f>
        <v>0</v>
      </c>
      <c r="G135" s="139">
        <f ca="1">VLOOKUP(Y135,Intensiteettikoodi,4,1)*Harjoitusalueet!$C$5</f>
        <v>0</v>
      </c>
      <c r="H135" s="140" t="e">
        <f t="shared" ca="1" si="22"/>
        <v>#DIV/0!</v>
      </c>
      <c r="I135" s="141" t="e">
        <f ca="1">TIME(0,0,((2.8/G135)^(1/3))*500)</f>
        <v>#DIV/0!</v>
      </c>
      <c r="R135" s="119"/>
      <c r="S135" s="51">
        <f>VLOOKUP(Alkukysely!$E$4,Keskikesto,8,1)</f>
        <v>120</v>
      </c>
      <c r="V135">
        <f>VLOOKUP(A129,Kausisuunnitelma,7,1)</f>
        <v>3</v>
      </c>
      <c r="W135">
        <f>VLOOKUP(Alkukysely!$E$4,Keskikesto,10)</f>
        <v>5</v>
      </c>
      <c r="X135">
        <f>V135/W135</f>
        <v>0.6</v>
      </c>
      <c r="Y135">
        <f>IF(E127&gt;0,VLOOKUP(Alkukysely!$E$4,Intensiteettinumero,8,1),VLOOKUP(Alkukysely!$E$4,Kevytnum,8,1))</f>
        <v>3</v>
      </c>
    </row>
    <row r="136" spans="1:25" x14ac:dyDescent="0.25">
      <c r="A136" s="193" t="s">
        <v>207</v>
      </c>
      <c r="B136" s="194"/>
      <c r="C136" s="194"/>
      <c r="D136" s="194"/>
      <c r="E136" s="194"/>
      <c r="F136" s="195"/>
      <c r="G136" s="196" t="s">
        <v>208</v>
      </c>
      <c r="H136" s="197"/>
      <c r="I136" s="198"/>
    </row>
    <row r="137" spans="1:25" x14ac:dyDescent="0.25">
      <c r="A137" s="180" t="str">
        <f>C131</f>
        <v>Peruskestävyys</v>
      </c>
      <c r="B137" s="181"/>
      <c r="C137" s="181"/>
      <c r="D137" s="181"/>
      <c r="E137" s="181"/>
      <c r="F137" s="202"/>
      <c r="G137" s="199"/>
      <c r="H137" s="200"/>
      <c r="I137" s="201"/>
    </row>
    <row r="138" spans="1:25" x14ac:dyDescent="0.25">
      <c r="A138" s="184" t="str">
        <f>IF(Alkukysely!$E$4&gt;1,VLOOKUP(A129,Kovat23,34,1),"-")</f>
        <v>-</v>
      </c>
      <c r="B138" s="184"/>
      <c r="C138" s="184"/>
      <c r="D138" s="184"/>
      <c r="E138" s="184"/>
      <c r="F138" s="203"/>
      <c r="G138" s="183" t="str">
        <f>IF(Alkukysely!$E$4&gt;1,VLOOKUP(A129,Kovat23,35,1),"-")</f>
        <v>-</v>
      </c>
      <c r="H138" s="184"/>
      <c r="I138" s="185"/>
    </row>
    <row r="139" spans="1:25" x14ac:dyDescent="0.25">
      <c r="A139" s="184"/>
      <c r="B139" s="184"/>
      <c r="C139" s="184"/>
      <c r="D139" s="184"/>
      <c r="E139" s="184"/>
      <c r="F139" s="203"/>
      <c r="G139" s="183"/>
      <c r="H139" s="184"/>
      <c r="I139" s="185"/>
    </row>
    <row r="140" spans="1:25" ht="68.25" customHeight="1" thickBot="1" x14ac:dyDescent="0.3">
      <c r="A140" s="204"/>
      <c r="B140" s="204"/>
      <c r="C140" s="204"/>
      <c r="D140" s="204"/>
      <c r="E140" s="204"/>
      <c r="F140" s="205"/>
      <c r="G140" s="206"/>
      <c r="H140" s="207"/>
      <c r="I140" s="208"/>
    </row>
    <row r="141" spans="1:25" ht="17.25" thickTop="1" thickBot="1" x14ac:dyDescent="0.3">
      <c r="A141" s="180" t="str">
        <f>C134</f>
        <v>Lepo</v>
      </c>
      <c r="B141" s="181"/>
      <c r="C141" s="181"/>
      <c r="D141" s="181"/>
      <c r="E141" s="181"/>
      <c r="F141" s="182"/>
      <c r="G141" s="183">
        <f>IF(Alkukysely!$E$4&gt;1,VLOOKUP(A129,Kovat23,37,1),VLOOKUP(A129,Kovat1,35,1))</f>
        <v>0</v>
      </c>
      <c r="H141" s="184"/>
      <c r="I141" s="185"/>
    </row>
    <row r="142" spans="1:25" ht="17.25" thickTop="1" thickBot="1" x14ac:dyDescent="0.3">
      <c r="A142" s="189"/>
      <c r="B142" s="190"/>
      <c r="C142" s="190"/>
      <c r="D142" s="190"/>
      <c r="E142" s="190"/>
      <c r="F142" s="190"/>
      <c r="G142" s="183"/>
      <c r="H142" s="184"/>
      <c r="I142" s="185"/>
    </row>
    <row r="143" spans="1:25" ht="17.25" thickTop="1" thickBot="1" x14ac:dyDescent="0.3">
      <c r="A143" s="189"/>
      <c r="B143" s="190"/>
      <c r="C143" s="190"/>
      <c r="D143" s="190"/>
      <c r="E143" s="190"/>
      <c r="F143" s="190"/>
      <c r="G143" s="183"/>
      <c r="H143" s="184"/>
      <c r="I143" s="185"/>
    </row>
    <row r="144" spans="1:25" ht="57.75" customHeight="1" thickTop="1" thickBot="1" x14ac:dyDescent="0.3">
      <c r="A144" s="191"/>
      <c r="B144" s="192"/>
      <c r="C144" s="192"/>
      <c r="D144" s="192"/>
      <c r="E144" s="192"/>
      <c r="F144" s="192"/>
      <c r="G144" s="186"/>
      <c r="H144" s="187"/>
      <c r="I144" s="188"/>
    </row>
    <row r="145" spans="1:25" x14ac:dyDescent="0.25">
      <c r="A145" s="145" t="str">
        <f>VLOOKUP(A147,Kausisuunnitelma,5,1)</f>
        <v>Kova 1</v>
      </c>
      <c r="B145" s="147" t="s">
        <v>108</v>
      </c>
      <c r="C145" s="146" t="str">
        <f>VLOOKUP(A147,Kausisuunnitelma,3,1)</f>
        <v>MK pitkä</v>
      </c>
      <c r="D145" s="124"/>
      <c r="E145" s="147">
        <f>VLOOKUP(A147,Kausisuunnitelma,6,1)</f>
        <v>1</v>
      </c>
      <c r="F145" s="209" t="s">
        <v>209</v>
      </c>
      <c r="G145" s="209"/>
      <c r="H145" s="210" t="s">
        <v>210</v>
      </c>
      <c r="I145" s="211"/>
      <c r="U145" s="118"/>
      <c r="V145" s="118"/>
    </row>
    <row r="146" spans="1:25" ht="48" thickBot="1" x14ac:dyDescent="0.3">
      <c r="A146" s="125" t="s">
        <v>107</v>
      </c>
      <c r="B146" s="128">
        <f>WEEKNUM(A147,21)</f>
        <v>52</v>
      </c>
      <c r="C146" s="130" t="s">
        <v>70</v>
      </c>
      <c r="D146" s="129" t="s">
        <v>71</v>
      </c>
      <c r="E146" s="142" t="s">
        <v>159</v>
      </c>
      <c r="F146" s="121" t="s">
        <v>12</v>
      </c>
      <c r="G146" s="121" t="s">
        <v>13</v>
      </c>
      <c r="H146" s="122" t="s">
        <v>12</v>
      </c>
      <c r="I146" s="123" t="s">
        <v>13</v>
      </c>
      <c r="J146" s="2"/>
      <c r="K146" s="2"/>
      <c r="L146" s="2"/>
      <c r="M146" s="2"/>
      <c r="N146" s="2"/>
      <c r="O146" s="2"/>
      <c r="P146" s="2"/>
      <c r="Q146" s="2"/>
      <c r="R146" s="2"/>
      <c r="S146" s="2"/>
      <c r="T146" s="2" t="s">
        <v>160</v>
      </c>
    </row>
    <row r="147" spans="1:25" x14ac:dyDescent="0.25">
      <c r="A147" s="132">
        <f>A135+1</f>
        <v>44186</v>
      </c>
      <c r="B147" s="133">
        <f t="shared" ref="B147:B153" si="24">A147</f>
        <v>44186</v>
      </c>
      <c r="C147" s="134" t="str">
        <f>VLOOKUP(Y147,Intensiteettikoodi,2,1)</f>
        <v>Lepo</v>
      </c>
      <c r="D147" s="135" t="str">
        <f>IF(Alkukysely!$F$4&gt;1, "Puntti","-")</f>
        <v>-</v>
      </c>
      <c r="E147" s="143">
        <f>IF(E145&gt;0,ROUND(S147*X153,-1),VLOOKUP(Alkukysely!$E$4,Kevytkesto,2,1))</f>
        <v>0</v>
      </c>
      <c r="F147" s="136">
        <f ca="1">VLOOKUP(Y147,Intensiteettikoodi,3,1)*Harjoitusalueet!$C$5</f>
        <v>0</v>
      </c>
      <c r="G147" s="136">
        <f ca="1">VLOOKUP(Y147,Intensiteettikoodi,4,1)*Harjoitusalueet!$C$5</f>
        <v>0</v>
      </c>
      <c r="H147" s="137" t="e">
        <f t="shared" ref="H147:H153" ca="1" si="25">TIME(0,0,((2.8/F147)^(1/3))*500)</f>
        <v>#DIV/0!</v>
      </c>
      <c r="I147" s="138" t="e">
        <f ca="1">TIME(0,0,((2.8/G147)^(1/3))*500)</f>
        <v>#DIV/0!</v>
      </c>
      <c r="R147" s="119"/>
      <c r="S147" s="51">
        <f>VLOOKUP(Alkukysely!$E$4,Keskikesto,2,1)</f>
        <v>0</v>
      </c>
      <c r="Y147">
        <f>IF(E145&gt;0,VLOOKUP(Alkukysely!$E$4,Intensiteettinumero,2,1),VLOOKUP(Alkukysely!$E$4,Kevytnum,2,1))</f>
        <v>0</v>
      </c>
    </row>
    <row r="148" spans="1:25" x14ac:dyDescent="0.25">
      <c r="A148" s="126">
        <f t="shared" ref="A148:A153" si="26">A147+1</f>
        <v>44187</v>
      </c>
      <c r="B148" s="127">
        <f t="shared" si="24"/>
        <v>44187</v>
      </c>
      <c r="C148" s="131" t="str">
        <f>VLOOKUP(Y148,Intensiteettikoodi,2,1)</f>
        <v>Peruskestävyys</v>
      </c>
      <c r="D148" s="120"/>
      <c r="E148" s="144">
        <f>IF(E145&gt;0,ROUND(S148*X153,-1),VLOOKUP(Alkukysely!$E$4,Kevytkesto,3,1))</f>
        <v>40</v>
      </c>
      <c r="F148" s="139">
        <f ca="1">VLOOKUP(Y148,Intensiteettikoodi,3,1)*Harjoitusalueet!$C$5</f>
        <v>0</v>
      </c>
      <c r="G148" s="139">
        <f ca="1">VLOOKUP(Y148,Intensiteettikoodi,4,1)*Harjoitusalueet!$C$5</f>
        <v>0</v>
      </c>
      <c r="H148" s="140" t="e">
        <f t="shared" ca="1" si="25"/>
        <v>#DIV/0!</v>
      </c>
      <c r="I148" s="141" t="e">
        <f ca="1">TIME(0,0,((2.8/G148)^(1/3))*500)</f>
        <v>#DIV/0!</v>
      </c>
      <c r="R148" s="119"/>
      <c r="S148" s="51">
        <f>VLOOKUP(Alkukysely!$E$4,Keskikesto,3,1)</f>
        <v>50</v>
      </c>
      <c r="Y148">
        <f>IF(E145&gt;0,VLOOKUP(Alkukysely!$E$4,Intensiteettinumero,3,1),VLOOKUP(Alkukysely!$E$4,Kevytnum,3,1))</f>
        <v>2</v>
      </c>
    </row>
    <row r="149" spans="1:25" x14ac:dyDescent="0.25">
      <c r="A149" s="126">
        <f t="shared" si="26"/>
        <v>44188</v>
      </c>
      <c r="B149" s="127">
        <f t="shared" si="24"/>
        <v>44188</v>
      </c>
      <c r="C149" s="131" t="str">
        <f>IF(Y149=4,T149,VLOOKUP(Y149,Intensiteettikoodi,2,1))</f>
        <v>Peruskestävyys</v>
      </c>
      <c r="D149" s="120"/>
      <c r="E149" s="144">
        <f>IF(E145&gt;0,ROUND(S149*X153,-1),VLOOKUP(Alkukysely!$E$4,Kevytkesto,4,1))</f>
        <v>60</v>
      </c>
      <c r="F149" s="212">
        <f ca="1">IF(Alkukysely!$E$4&gt;1,VLOOKUP('Viikko-ohjelma'!A147,Kovat23,11,1),VLOOKUP(Y149,Intensiteettikoodi,3,1)*Harjoitusalueet!$C$5)</f>
        <v>0</v>
      </c>
      <c r="G149" s="212"/>
      <c r="H149" s="213" t="e">
        <f t="shared" ca="1" si="25"/>
        <v>#DIV/0!</v>
      </c>
      <c r="I149" s="214"/>
      <c r="R149" s="119"/>
      <c r="S149" s="51">
        <f>VLOOKUP(Alkukysely!$E$4,Keskikesto,4,1)</f>
        <v>62.5</v>
      </c>
      <c r="T149" t="str">
        <f>IF(Alkukysely!$E$4&gt;1,VLOOKUP('Viikko-ohjelma'!A147,Kovat23,8,1),C149)</f>
        <v>Peruskestävyys</v>
      </c>
      <c r="Y149">
        <f>IF(E145&gt;0,VLOOKUP(Alkukysely!$E$4,Intensiteettinumero,4,1),VLOOKUP(Alkukysely!$E$4,Kevytnum,4,1))</f>
        <v>2</v>
      </c>
    </row>
    <row r="150" spans="1:25" x14ac:dyDescent="0.25">
      <c r="A150" s="126">
        <f t="shared" si="26"/>
        <v>44189</v>
      </c>
      <c r="B150" s="127">
        <f t="shared" si="24"/>
        <v>44189</v>
      </c>
      <c r="C150" s="131" t="str">
        <f>VLOOKUP(Y150,Intensiteettikoodi,2,1)</f>
        <v>Lepo</v>
      </c>
      <c r="D150" s="120" t="str">
        <f>IF(AND(Alkukysely!$F$4&gt;2,E145&gt;0), "Puntti","-")</f>
        <v>-</v>
      </c>
      <c r="E150" s="144">
        <f>IF(E145&gt;0,ROUND(S150*X153,-1),VLOOKUP(Alkukysely!$E$4,Kevytkesto,5,1))</f>
        <v>0</v>
      </c>
      <c r="F150" s="139">
        <f ca="1">VLOOKUP(Y150,Intensiteettikoodi,3,1)*Harjoitusalueet!$C$5</f>
        <v>0</v>
      </c>
      <c r="G150" s="139">
        <f ca="1">VLOOKUP(Y150,Intensiteettikoodi,4,1)*Harjoitusalueet!$C$5</f>
        <v>0</v>
      </c>
      <c r="H150" s="140" t="e">
        <f t="shared" ca="1" si="25"/>
        <v>#DIV/0!</v>
      </c>
      <c r="I150" s="141" t="e">
        <f ca="1">TIME(0,0,((2.8/G150)^(1/3))*500)</f>
        <v>#DIV/0!</v>
      </c>
      <c r="R150" s="119"/>
      <c r="S150" s="51">
        <f>VLOOKUP(Alkukysely!$E$4,Keskikesto,5,1)</f>
        <v>0</v>
      </c>
      <c r="X150" s="46"/>
      <c r="Y150">
        <f>IF(E145&gt;0,VLOOKUP(Alkukysely!$E$4,Intensiteettinumero,5,1),VLOOKUP(Alkukysely!$E$4,Kevytnum,5,1))</f>
        <v>0</v>
      </c>
    </row>
    <row r="151" spans="1:25" x14ac:dyDescent="0.25">
      <c r="A151" s="126">
        <f t="shared" si="26"/>
        <v>44190</v>
      </c>
      <c r="B151" s="127">
        <f t="shared" si="24"/>
        <v>44190</v>
      </c>
      <c r="C151" s="131" t="str">
        <f>VLOOKUP(Y151,Intensiteettikoodi,2,1)</f>
        <v>Lepo</v>
      </c>
      <c r="D151" s="120"/>
      <c r="E151" s="144">
        <f>IF(E145&gt;0,ROUND(S151*X153,-1),VLOOKUP(Alkukysely!$E$4,Kevytkesto,6,1))</f>
        <v>0</v>
      </c>
      <c r="F151" s="139">
        <f ca="1">VLOOKUP(Y151,Intensiteettikoodi,3,1)*Harjoitusalueet!$C$5</f>
        <v>0</v>
      </c>
      <c r="G151" s="139">
        <f ca="1">VLOOKUP(Y151,Intensiteettikoodi,4,1)*Harjoitusalueet!$C$5</f>
        <v>0</v>
      </c>
      <c r="H151" s="140" t="e">
        <f t="shared" ca="1" si="25"/>
        <v>#DIV/0!</v>
      </c>
      <c r="I151" s="141" t="e">
        <f ca="1">TIME(0,0,((2.8/G151)^(1/3))*500)</f>
        <v>#DIV/0!</v>
      </c>
      <c r="R151" s="119"/>
      <c r="S151" s="51">
        <f>VLOOKUP(Alkukysely!$E$4,Keskikesto,6,1)</f>
        <v>0</v>
      </c>
      <c r="X151" s="46"/>
      <c r="Y151">
        <f>IF(E145&gt;0,VLOOKUP(Alkukysely!$E$4,Intensiteettinumero,6,1),VLOOKUP(Alkukysely!$E$4,Kevytnum,6,1))</f>
        <v>0</v>
      </c>
    </row>
    <row r="152" spans="1:25" x14ac:dyDescent="0.25">
      <c r="A152" s="126">
        <f t="shared" si="26"/>
        <v>44191</v>
      </c>
      <c r="B152" s="127">
        <f t="shared" si="24"/>
        <v>44191</v>
      </c>
      <c r="C152" s="131" t="str">
        <f>IF(Y152=4,T152,VLOOKUP(Y152,Intensiteettikoodi,2,1))</f>
        <v>20 min testi</v>
      </c>
      <c r="D152" s="120"/>
      <c r="E152" s="144">
        <f>IF(E145&gt;0,ROUND(S152*X153,-1),VLOOKUP(Alkukysely!$E$4,Kevytkesto,7,1))</f>
        <v>60</v>
      </c>
      <c r="F152" s="212">
        <f ca="1">IF(Alkukysely!$E$4&gt;1,VLOOKUP('Viikko-ohjelma'!A147,Kovat23,24,1),VLOOKUP(A147,Kovat1,11,1))</f>
        <v>0</v>
      </c>
      <c r="G152" s="212"/>
      <c r="H152" s="213" t="e">
        <f t="shared" ca="1" si="25"/>
        <v>#DIV/0!</v>
      </c>
      <c r="I152" s="214"/>
      <c r="R152" s="119"/>
      <c r="S152" s="51">
        <f>VLOOKUP(Alkukysely!$E$4,Keskikesto,7,1)</f>
        <v>67.5</v>
      </c>
      <c r="T152" t="str">
        <f>IF(Alkukysely!$E$4&gt;1,VLOOKUP('Viikko-ohjelma'!A147,Kovat23,21,1),VLOOKUP(A147,Kovat1,8,1))</f>
        <v>20 min testi</v>
      </c>
      <c r="Y152">
        <f>IF(E145&gt;0,VLOOKUP(Alkukysely!$E$4,Intensiteettinumero,7,1),VLOOKUP(Alkukysely!$E$4,Kevytnum,7,1))</f>
        <v>4</v>
      </c>
    </row>
    <row r="153" spans="1:25" x14ac:dyDescent="0.25">
      <c r="A153" s="126">
        <f t="shared" si="26"/>
        <v>44192</v>
      </c>
      <c r="B153" s="127">
        <f t="shared" si="24"/>
        <v>44192</v>
      </c>
      <c r="C153" s="131" t="str">
        <f>VLOOKUP(Y153,Intensiteettikoodi,2,1)</f>
        <v>Pitkä peruskestävyys</v>
      </c>
      <c r="D153" s="120"/>
      <c r="E153" s="144">
        <f>IF(E145&gt;0,ROUND(S153*X153,-1),VLOOKUP(Alkukysely!$E$4,Kevytkesto,8,1))</f>
        <v>110</v>
      </c>
      <c r="F153" s="139">
        <f ca="1">VLOOKUP(Y153,Intensiteettikoodi,3,1)*Harjoitusalueet!$C$5</f>
        <v>0</v>
      </c>
      <c r="G153" s="139">
        <f ca="1">VLOOKUP(Y153,Intensiteettikoodi,4,1)*Harjoitusalueet!$C$5</f>
        <v>0</v>
      </c>
      <c r="H153" s="140" t="e">
        <f t="shared" ca="1" si="25"/>
        <v>#DIV/0!</v>
      </c>
      <c r="I153" s="141" t="e">
        <f ca="1">TIME(0,0,((2.8/G153)^(1/3))*500)</f>
        <v>#DIV/0!</v>
      </c>
      <c r="R153" s="119"/>
      <c r="S153" s="51">
        <f>VLOOKUP(Alkukysely!$E$4,Keskikesto,8,1)</f>
        <v>120</v>
      </c>
      <c r="V153">
        <f>VLOOKUP(A147,Kausisuunnitelma,7,1)</f>
        <v>4.4000000000000004</v>
      </c>
      <c r="W153">
        <f>VLOOKUP(Alkukysely!$E$4,Keskikesto,10)</f>
        <v>5</v>
      </c>
      <c r="X153">
        <f>V153/W153</f>
        <v>0.88000000000000012</v>
      </c>
      <c r="Y153">
        <f>IF(E145&gt;0,VLOOKUP(Alkukysely!$E$4,Intensiteettinumero,8,1),VLOOKUP(Alkukysely!$E$4,Kevytnum,8,1))</f>
        <v>3</v>
      </c>
    </row>
    <row r="154" spans="1:25" x14ac:dyDescent="0.25">
      <c r="A154" s="193" t="s">
        <v>207</v>
      </c>
      <c r="B154" s="194"/>
      <c r="C154" s="194"/>
      <c r="D154" s="194"/>
      <c r="E154" s="194"/>
      <c r="F154" s="195"/>
      <c r="G154" s="196" t="s">
        <v>208</v>
      </c>
      <c r="H154" s="197"/>
      <c r="I154" s="198"/>
    </row>
    <row r="155" spans="1:25" x14ac:dyDescent="0.25">
      <c r="A155" s="180" t="str">
        <f>C149</f>
        <v>Peruskestävyys</v>
      </c>
      <c r="B155" s="181"/>
      <c r="C155" s="181"/>
      <c r="D155" s="181"/>
      <c r="E155" s="181"/>
      <c r="F155" s="202"/>
      <c r="G155" s="199"/>
      <c r="H155" s="200"/>
      <c r="I155" s="201"/>
    </row>
    <row r="156" spans="1:25" x14ac:dyDescent="0.25">
      <c r="A156" s="184" t="str">
        <f>IF(Alkukysely!$E$4&gt;1,VLOOKUP(A147,Kovat23,34,1),"-")</f>
        <v>-</v>
      </c>
      <c r="B156" s="184"/>
      <c r="C156" s="184"/>
      <c r="D156" s="184"/>
      <c r="E156" s="184"/>
      <c r="F156" s="203"/>
      <c r="G156" s="183" t="str">
        <f>IF(Alkukysely!$E$4&gt;1,VLOOKUP(A147,Kovat23,35,1),"-")</f>
        <v>-</v>
      </c>
      <c r="H156" s="184"/>
      <c r="I156" s="185"/>
    </row>
    <row r="157" spans="1:25" x14ac:dyDescent="0.25">
      <c r="A157" s="184"/>
      <c r="B157" s="184"/>
      <c r="C157" s="184"/>
      <c r="D157" s="184"/>
      <c r="E157" s="184"/>
      <c r="F157" s="203"/>
      <c r="G157" s="183"/>
      <c r="H157" s="184"/>
      <c r="I157" s="185"/>
    </row>
    <row r="158" spans="1:25" ht="59.25" customHeight="1" thickBot="1" x14ac:dyDescent="0.3">
      <c r="A158" s="204"/>
      <c r="B158" s="204"/>
      <c r="C158" s="204"/>
      <c r="D158" s="204"/>
      <c r="E158" s="204"/>
      <c r="F158" s="205"/>
      <c r="G158" s="206"/>
      <c r="H158" s="207"/>
      <c r="I158" s="208"/>
    </row>
    <row r="159" spans="1:25" ht="17.25" thickTop="1" thickBot="1" x14ac:dyDescent="0.3">
      <c r="A159" s="180" t="str">
        <f>C152</f>
        <v>20 min testi</v>
      </c>
      <c r="B159" s="181"/>
      <c r="C159" s="181"/>
      <c r="D159" s="181"/>
      <c r="E159" s="181"/>
      <c r="F159" s="182"/>
      <c r="G159" s="183" t="str">
        <f>IF(Alkukysely!$E$4&gt;1,VLOOKUP(A147,Kovat23,37,1),VLOOKUP(A147,Kovat1,35,1))</f>
        <v>20 min alkulämppä + 30 min. palauttava/peruskestävyys</v>
      </c>
      <c r="H159" s="184"/>
      <c r="I159" s="185"/>
    </row>
    <row r="160" spans="1:25" ht="17.25" thickTop="1" thickBot="1" x14ac:dyDescent="0.3">
      <c r="A160" s="189" t="str">
        <f>IF(Alkukysely!$E$4&gt;1,VLOOKUP(A147,Kovat23,36,1),VLOOKUP(A147,Kovat1,34,1))</f>
        <v>Harjoitusvauhtien päivittämiseksi vuorossa on uusi 20 minuutin testi. Edellisen testin perusteella sinulla tulisi olla käsitys siitä minkälaista tehoa/vauhtia kykenet ylläpitämään. Mikäli edellisen testin vauhdinjako onnistui hyvin, suosittelen lähtemään edellisen testin keskiteholla/-vauhdilla liikkeelle ja katsomaan testin aikana pystytkö nostamaan tehoa/vauhti. KIRJAA YLÖS TESTIN KESKITEHO JA SOUDETTU MATKA.</v>
      </c>
      <c r="B160" s="190"/>
      <c r="C160" s="190"/>
      <c r="D160" s="190"/>
      <c r="E160" s="190"/>
      <c r="F160" s="190"/>
      <c r="G160" s="183"/>
      <c r="H160" s="184"/>
      <c r="I160" s="185"/>
    </row>
    <row r="161" spans="1:25" ht="17.25" thickTop="1" thickBot="1" x14ac:dyDescent="0.3">
      <c r="A161" s="189"/>
      <c r="B161" s="190"/>
      <c r="C161" s="190"/>
      <c r="D161" s="190"/>
      <c r="E161" s="190"/>
      <c r="F161" s="190"/>
      <c r="G161" s="183"/>
      <c r="H161" s="184"/>
      <c r="I161" s="185"/>
    </row>
    <row r="162" spans="1:25" ht="42.75" customHeight="1" thickTop="1" thickBot="1" x14ac:dyDescent="0.3">
      <c r="A162" s="191"/>
      <c r="B162" s="192"/>
      <c r="C162" s="192"/>
      <c r="D162" s="192"/>
      <c r="E162" s="192"/>
      <c r="F162" s="192"/>
      <c r="G162" s="186"/>
      <c r="H162" s="187"/>
      <c r="I162" s="188"/>
    </row>
    <row r="163" spans="1:25" x14ac:dyDescent="0.25">
      <c r="A163" s="145" t="str">
        <f>VLOOKUP(A165,Kausisuunnitelma,5,1)</f>
        <v>Kova 2</v>
      </c>
      <c r="B163" s="147" t="s">
        <v>108</v>
      </c>
      <c r="C163" s="146" t="str">
        <f>VLOOKUP(A165,Kausisuunnitelma,3,1)</f>
        <v>MK pitkä</v>
      </c>
      <c r="D163" s="124"/>
      <c r="E163" s="147">
        <f>VLOOKUP(A165,Kausisuunnitelma,6,1)</f>
        <v>2</v>
      </c>
      <c r="F163" s="209" t="s">
        <v>209</v>
      </c>
      <c r="G163" s="209"/>
      <c r="H163" s="210" t="s">
        <v>210</v>
      </c>
      <c r="I163" s="211"/>
      <c r="U163" s="118"/>
      <c r="V163" s="118"/>
    </row>
    <row r="164" spans="1:25" ht="48" thickBot="1" x14ac:dyDescent="0.3">
      <c r="A164" s="125" t="s">
        <v>107</v>
      </c>
      <c r="B164" s="128">
        <f>WEEKNUM(A165,21)</f>
        <v>53</v>
      </c>
      <c r="C164" s="130" t="s">
        <v>70</v>
      </c>
      <c r="D164" s="129" t="s">
        <v>71</v>
      </c>
      <c r="E164" s="142" t="s">
        <v>159</v>
      </c>
      <c r="F164" s="121" t="s">
        <v>12</v>
      </c>
      <c r="G164" s="121" t="s">
        <v>13</v>
      </c>
      <c r="H164" s="122" t="s">
        <v>12</v>
      </c>
      <c r="I164" s="123" t="s">
        <v>13</v>
      </c>
      <c r="J164" s="2"/>
      <c r="K164" s="2"/>
      <c r="L164" s="2"/>
      <c r="M164" s="2"/>
      <c r="N164" s="2"/>
      <c r="O164" s="2"/>
      <c r="P164" s="2"/>
      <c r="Q164" s="2"/>
      <c r="R164" s="2"/>
      <c r="S164" s="2"/>
      <c r="T164" s="2" t="s">
        <v>160</v>
      </c>
    </row>
    <row r="165" spans="1:25" x14ac:dyDescent="0.25">
      <c r="A165" s="132">
        <f>A153+1</f>
        <v>44193</v>
      </c>
      <c r="B165" s="133">
        <f t="shared" ref="B165:B171" si="27">A165</f>
        <v>44193</v>
      </c>
      <c r="C165" s="134" t="str">
        <f>VLOOKUP(Y165,Intensiteettikoodi,2,1)</f>
        <v>Lepo</v>
      </c>
      <c r="D165" s="135" t="str">
        <f>IF(Alkukysely!$F$4&gt;1, "Puntti","-")</f>
        <v>-</v>
      </c>
      <c r="E165" s="143">
        <f>IF(E163&gt;0,ROUND(S165*X171,-1),VLOOKUP(Alkukysely!$E$4,Kevytkesto,2,1))</f>
        <v>0</v>
      </c>
      <c r="F165" s="136">
        <f ca="1">VLOOKUP(Y165,Intensiteettikoodi,3,1)*Harjoitusalueet!$C$5</f>
        <v>0</v>
      </c>
      <c r="G165" s="136">
        <f ca="1">VLOOKUP(Y165,Intensiteettikoodi,4,1)*Harjoitusalueet!$C$5</f>
        <v>0</v>
      </c>
      <c r="H165" s="137" t="e">
        <f t="shared" ref="H165:H171" ca="1" si="28">TIME(0,0,((2.8/F165)^(1/3))*500)</f>
        <v>#DIV/0!</v>
      </c>
      <c r="I165" s="138" t="e">
        <f ca="1">TIME(0,0,((2.8/G165)^(1/3))*500)</f>
        <v>#DIV/0!</v>
      </c>
      <c r="R165" s="119"/>
      <c r="S165" s="51">
        <f>VLOOKUP(Alkukysely!$E$4,Keskikesto,2,1)</f>
        <v>0</v>
      </c>
      <c r="Y165">
        <f>IF(E163&gt;0,VLOOKUP(Alkukysely!$E$4,Intensiteettinumero,2,1),VLOOKUP(Alkukysely!$E$4,Kevytnum,2,1))</f>
        <v>0</v>
      </c>
    </row>
    <row r="166" spans="1:25" x14ac:dyDescent="0.25">
      <c r="A166" s="126">
        <f t="shared" ref="A166:A171" si="29">A165+1</f>
        <v>44194</v>
      </c>
      <c r="B166" s="127">
        <f t="shared" si="27"/>
        <v>44194</v>
      </c>
      <c r="C166" s="131" t="str">
        <f>VLOOKUP(Y166,Intensiteettikoodi,2,1)</f>
        <v>Peruskestävyys</v>
      </c>
      <c r="D166" s="120"/>
      <c r="E166" s="144">
        <f>IF(E163&gt;0,ROUND(S166*X171,-1),VLOOKUP(Alkukysely!$E$4,Kevytkesto,3,1))</f>
        <v>50</v>
      </c>
      <c r="F166" s="139">
        <f ca="1">VLOOKUP(Y166,Intensiteettikoodi,3,1)*Harjoitusalueet!$C$5</f>
        <v>0</v>
      </c>
      <c r="G166" s="139">
        <f ca="1">VLOOKUP(Y166,Intensiteettikoodi,4,1)*Harjoitusalueet!$C$5</f>
        <v>0</v>
      </c>
      <c r="H166" s="140" t="e">
        <f t="shared" ca="1" si="28"/>
        <v>#DIV/0!</v>
      </c>
      <c r="I166" s="141" t="e">
        <f ca="1">TIME(0,0,((2.8/G166)^(1/3))*500)</f>
        <v>#DIV/0!</v>
      </c>
      <c r="R166" s="119"/>
      <c r="S166" s="51">
        <f>VLOOKUP(Alkukysely!$E$4,Keskikesto,3,1)</f>
        <v>50</v>
      </c>
      <c r="Y166">
        <f>IF(E163&gt;0,VLOOKUP(Alkukysely!$E$4,Intensiteettinumero,3,1),VLOOKUP(Alkukysely!$E$4,Kevytnum,3,1))</f>
        <v>2</v>
      </c>
    </row>
    <row r="167" spans="1:25" x14ac:dyDescent="0.25">
      <c r="A167" s="126">
        <f t="shared" si="29"/>
        <v>44195</v>
      </c>
      <c r="B167" s="127">
        <f t="shared" si="27"/>
        <v>44195</v>
      </c>
      <c r="C167" s="131" t="str">
        <f>IF(Y167=4,T167,VLOOKUP(Y167,Intensiteettikoodi,2,1))</f>
        <v>Peruskestävyys</v>
      </c>
      <c r="D167" s="120"/>
      <c r="E167" s="144">
        <f>IF(E163&gt;0,ROUND(S167*X171,-1),VLOOKUP(Alkukysely!$E$4,Kevytkesto,4,1))</f>
        <v>60</v>
      </c>
      <c r="F167" s="212">
        <f ca="1">IF(Alkukysely!$E$4&gt;1,VLOOKUP('Viikko-ohjelma'!A165,Kovat23,11,1),VLOOKUP(Y167,Intensiteettikoodi,3,1)*Harjoitusalueet!$C$5)</f>
        <v>0</v>
      </c>
      <c r="G167" s="212"/>
      <c r="H167" s="213" t="e">
        <f t="shared" ca="1" si="28"/>
        <v>#DIV/0!</v>
      </c>
      <c r="I167" s="214"/>
      <c r="R167" s="119"/>
      <c r="S167" s="51">
        <f>VLOOKUP(Alkukysely!$E$4,Keskikesto,4,1)</f>
        <v>62.5</v>
      </c>
      <c r="T167" t="str">
        <f>IF(Alkukysely!$E$4&gt;1,VLOOKUP('Viikko-ohjelma'!A165,Kovat23,8,1),C167)</f>
        <v>Peruskestävyys</v>
      </c>
      <c r="Y167">
        <f>IF(E163&gt;0,VLOOKUP(Alkukysely!$E$4,Intensiteettinumero,4,1),VLOOKUP(Alkukysely!$E$4,Kevytnum,4,1))</f>
        <v>2</v>
      </c>
    </row>
    <row r="168" spans="1:25" x14ac:dyDescent="0.25">
      <c r="A168" s="126">
        <f t="shared" si="29"/>
        <v>44196</v>
      </c>
      <c r="B168" s="127">
        <f t="shared" si="27"/>
        <v>44196</v>
      </c>
      <c r="C168" s="131" t="str">
        <f>VLOOKUP(Y168,Intensiteettikoodi,2,1)</f>
        <v>Lepo</v>
      </c>
      <c r="D168" s="120" t="str">
        <f>IF(AND(Alkukysely!$F$4&gt;2,E163&gt;0), "Puntti","-")</f>
        <v>-</v>
      </c>
      <c r="E168" s="144">
        <f>IF(E163&gt;0,ROUND(S168*X171,-1),VLOOKUP(Alkukysely!$E$4,Kevytkesto,5,1))</f>
        <v>0</v>
      </c>
      <c r="F168" s="139">
        <f ca="1">VLOOKUP(Y168,Intensiteettikoodi,3,1)*Harjoitusalueet!$C$5</f>
        <v>0</v>
      </c>
      <c r="G168" s="139">
        <f ca="1">VLOOKUP(Y168,Intensiteettikoodi,4,1)*Harjoitusalueet!$C$5</f>
        <v>0</v>
      </c>
      <c r="H168" s="140" t="e">
        <f t="shared" ca="1" si="28"/>
        <v>#DIV/0!</v>
      </c>
      <c r="I168" s="141" t="e">
        <f ca="1">TIME(0,0,((2.8/G168)^(1/3))*500)</f>
        <v>#DIV/0!</v>
      </c>
      <c r="R168" s="119"/>
      <c r="S168" s="51">
        <f>VLOOKUP(Alkukysely!$E$4,Keskikesto,5,1)</f>
        <v>0</v>
      </c>
      <c r="X168" s="46"/>
      <c r="Y168">
        <f>IF(E163&gt;0,VLOOKUP(Alkukysely!$E$4,Intensiteettinumero,5,1),VLOOKUP(Alkukysely!$E$4,Kevytnum,5,1))</f>
        <v>0</v>
      </c>
    </row>
    <row r="169" spans="1:25" x14ac:dyDescent="0.25">
      <c r="A169" s="126">
        <f t="shared" si="29"/>
        <v>44197</v>
      </c>
      <c r="B169" s="127">
        <f t="shared" si="27"/>
        <v>44197</v>
      </c>
      <c r="C169" s="131" t="str">
        <f>VLOOKUP(Y169,Intensiteettikoodi,2,1)</f>
        <v>Lepo</v>
      </c>
      <c r="D169" s="120"/>
      <c r="E169" s="144">
        <f>IF(E163&gt;0,ROUND(S169*X171,-1),VLOOKUP(Alkukysely!$E$4,Kevytkesto,6,1))</f>
        <v>0</v>
      </c>
      <c r="F169" s="139">
        <f ca="1">VLOOKUP(Y169,Intensiteettikoodi,3,1)*Harjoitusalueet!$C$5</f>
        <v>0</v>
      </c>
      <c r="G169" s="139">
        <f ca="1">VLOOKUP(Y169,Intensiteettikoodi,4,1)*Harjoitusalueet!$C$5</f>
        <v>0</v>
      </c>
      <c r="H169" s="140" t="e">
        <f t="shared" ca="1" si="28"/>
        <v>#DIV/0!</v>
      </c>
      <c r="I169" s="141" t="e">
        <f ca="1">TIME(0,0,((2.8/G169)^(1/3))*500)</f>
        <v>#DIV/0!</v>
      </c>
      <c r="R169" s="119"/>
      <c r="S169" s="51">
        <f>VLOOKUP(Alkukysely!$E$4,Keskikesto,6,1)</f>
        <v>0</v>
      </c>
      <c r="X169" s="46"/>
      <c r="Y169">
        <f>IF(E163&gt;0,VLOOKUP(Alkukysely!$E$4,Intensiteettinumero,6,1),VLOOKUP(Alkukysely!$E$4,Kevytnum,6,1))</f>
        <v>0</v>
      </c>
    </row>
    <row r="170" spans="1:25" x14ac:dyDescent="0.25">
      <c r="A170" s="126">
        <f t="shared" si="29"/>
        <v>44198</v>
      </c>
      <c r="B170" s="127">
        <f t="shared" si="27"/>
        <v>44198</v>
      </c>
      <c r="C170" s="131" t="str">
        <f>IF(Y170=4,T170,VLOOKUP(Y170,Intensiteettikoodi,2,1))</f>
        <v>5*6min/3min</v>
      </c>
      <c r="D170" s="120"/>
      <c r="E170" s="144">
        <f>IF(E163&gt;0,ROUND(S170*X171,-1),VLOOKUP(Alkukysely!$E$4,Kevytkesto,7,1))</f>
        <v>60</v>
      </c>
      <c r="F170" s="212">
        <f ca="1">IF(Alkukysely!$E$4&gt;1,VLOOKUP('Viikko-ohjelma'!A165,Kovat23,24,1),VLOOKUP(A165,Kovat1,11,1))</f>
        <v>0</v>
      </c>
      <c r="G170" s="212"/>
      <c r="H170" s="213" t="e">
        <f t="shared" ca="1" si="28"/>
        <v>#DIV/0!</v>
      </c>
      <c r="I170" s="214"/>
      <c r="R170" s="119"/>
      <c r="S170" s="51">
        <f>VLOOKUP(Alkukysely!$E$4,Keskikesto,7,1)</f>
        <v>67.5</v>
      </c>
      <c r="T170" t="str">
        <f>IF(Alkukysely!$E$4&gt;1,VLOOKUP('Viikko-ohjelma'!A165,Kovat23,21,1),VLOOKUP(A165,Kovat1,8,1))</f>
        <v>5*6min/3min</v>
      </c>
      <c r="Y170">
        <f>IF(E163&gt;0,VLOOKUP(Alkukysely!$E$4,Intensiteettinumero,7,1),VLOOKUP(Alkukysely!$E$4,Kevytnum,7,1))</f>
        <v>4</v>
      </c>
    </row>
    <row r="171" spans="1:25" ht="21" customHeight="1" x14ac:dyDescent="0.25">
      <c r="A171" s="126">
        <f t="shared" si="29"/>
        <v>44199</v>
      </c>
      <c r="B171" s="127">
        <f t="shared" si="27"/>
        <v>44199</v>
      </c>
      <c r="C171" s="131" t="str">
        <f>VLOOKUP(Y171,Intensiteettikoodi,2,1)</f>
        <v>Pitkä peruskestävyys</v>
      </c>
      <c r="D171" s="120"/>
      <c r="E171" s="144">
        <f>IF(E163&gt;0,ROUND(S171*X171,-1),VLOOKUP(Alkukysely!$E$4,Kevytkesto,8,1))</f>
        <v>120</v>
      </c>
      <c r="F171" s="139">
        <f ca="1">VLOOKUP(Y171,Intensiteettikoodi,3,1)*Harjoitusalueet!$C$5</f>
        <v>0</v>
      </c>
      <c r="G171" s="139">
        <f ca="1">VLOOKUP(Y171,Intensiteettikoodi,4,1)*Harjoitusalueet!$C$5</f>
        <v>0</v>
      </c>
      <c r="H171" s="140" t="e">
        <f t="shared" ca="1" si="28"/>
        <v>#DIV/0!</v>
      </c>
      <c r="I171" s="141" t="e">
        <f ca="1">TIME(0,0,((2.8/G171)^(1/3))*500)</f>
        <v>#DIV/0!</v>
      </c>
      <c r="R171" s="119"/>
      <c r="S171" s="51">
        <f>VLOOKUP(Alkukysely!$E$4,Keskikesto,8,1)</f>
        <v>120</v>
      </c>
      <c r="V171">
        <f>VLOOKUP(A165,Kausisuunnitelma,7,1)</f>
        <v>4.8000000000000007</v>
      </c>
      <c r="W171">
        <f>VLOOKUP(Alkukysely!$E$4,Keskikesto,10)</f>
        <v>5</v>
      </c>
      <c r="X171">
        <f>V171/W171</f>
        <v>0.96000000000000019</v>
      </c>
      <c r="Y171">
        <f>IF(E163&gt;0,VLOOKUP(Alkukysely!$E$4,Intensiteettinumero,8,1),VLOOKUP(Alkukysely!$E$4,Kevytnum,8,1))</f>
        <v>3</v>
      </c>
    </row>
    <row r="172" spans="1:25" ht="15" customHeight="1" x14ac:dyDescent="0.25">
      <c r="A172" s="193" t="s">
        <v>207</v>
      </c>
      <c r="B172" s="194"/>
      <c r="C172" s="194"/>
      <c r="D172" s="194"/>
      <c r="E172" s="194"/>
      <c r="F172" s="195"/>
      <c r="G172" s="196" t="s">
        <v>208</v>
      </c>
      <c r="H172" s="197"/>
      <c r="I172" s="198"/>
    </row>
    <row r="173" spans="1:25" ht="12.75" customHeight="1" x14ac:dyDescent="0.25">
      <c r="A173" s="180" t="str">
        <f>C167</f>
        <v>Peruskestävyys</v>
      </c>
      <c r="B173" s="181"/>
      <c r="C173" s="181"/>
      <c r="D173" s="181"/>
      <c r="E173" s="181"/>
      <c r="F173" s="202"/>
      <c r="G173" s="199"/>
      <c r="H173" s="200"/>
      <c r="I173" s="201"/>
    </row>
    <row r="174" spans="1:25" ht="13.5" customHeight="1" x14ac:dyDescent="0.25">
      <c r="A174" s="184" t="str">
        <f>IF(Alkukysely!$E$4&gt;1,VLOOKUP(A165,Kovat23,34,1),"-")</f>
        <v>-</v>
      </c>
      <c r="B174" s="184"/>
      <c r="C174" s="184"/>
      <c r="D174" s="184"/>
      <c r="E174" s="184"/>
      <c r="F174" s="203"/>
      <c r="G174" s="183" t="str">
        <f>IF(Alkukysely!$E$4&gt;1,VLOOKUP(A165,Kovat23,35,1),"-")</f>
        <v>-</v>
      </c>
      <c r="H174" s="184"/>
      <c r="I174" s="185"/>
    </row>
    <row r="175" spans="1:25" ht="12" customHeight="1" x14ac:dyDescent="0.25">
      <c r="A175" s="184"/>
      <c r="B175" s="184"/>
      <c r="C175" s="184"/>
      <c r="D175" s="184"/>
      <c r="E175" s="184"/>
      <c r="F175" s="203"/>
      <c r="G175" s="183"/>
      <c r="H175" s="184"/>
      <c r="I175" s="185"/>
    </row>
    <row r="176" spans="1:25" ht="15.75" customHeight="1" thickBot="1" x14ac:dyDescent="0.3">
      <c r="A176" s="204"/>
      <c r="B176" s="204"/>
      <c r="C176" s="204"/>
      <c r="D176" s="204"/>
      <c r="E176" s="204"/>
      <c r="F176" s="205"/>
      <c r="G176" s="206"/>
      <c r="H176" s="207"/>
      <c r="I176" s="208"/>
    </row>
    <row r="177" spans="1:25" ht="33" customHeight="1" thickTop="1" thickBot="1" x14ac:dyDescent="0.3">
      <c r="A177" s="180" t="str">
        <f>C170</f>
        <v>5*6min/3min</v>
      </c>
      <c r="B177" s="181"/>
      <c r="C177" s="181"/>
      <c r="D177" s="181"/>
      <c r="E177" s="181"/>
      <c r="F177" s="182"/>
      <c r="G177" s="183" t="str">
        <f>IF(Alkukysely!$E$4&gt;1,VLOOKUP(A165,Kovat23,37,1),VLOOKUP(A165,Kovat1,35,1))</f>
        <v>20 min alkulämppä + 30 min. palauttava/peruskestävyys</v>
      </c>
      <c r="H177" s="184"/>
      <c r="I177" s="185"/>
    </row>
    <row r="178" spans="1:25" ht="33" customHeight="1" thickTop="1" thickBot="1" x14ac:dyDescent="0.3">
      <c r="A178" s="189" t="str">
        <f>IF(Alkukysely!$E$4&gt;1,VLOOKUP(A165,Kovat23,36,1),VLOOKUP(A165,Kovat1,34,1))</f>
        <v>Pitkät maksimikestävyysalueen harjoitukset jatkuvat, nyt uuden testin perusteella päivitetyt harjoitusvauhdit. Jos viime jaksossa intervallit onnistuivat, pyri nostamaan nyt hieman harjoituksen keskitehoa.</v>
      </c>
      <c r="B178" s="190"/>
      <c r="C178" s="190"/>
      <c r="D178" s="190"/>
      <c r="E178" s="190"/>
      <c r="F178" s="190"/>
      <c r="G178" s="183"/>
      <c r="H178" s="184"/>
      <c r="I178" s="185"/>
    </row>
    <row r="179" spans="1:25" ht="24" customHeight="1" thickTop="1" thickBot="1" x14ac:dyDescent="0.3">
      <c r="A179" s="189"/>
      <c r="B179" s="190"/>
      <c r="C179" s="190"/>
      <c r="D179" s="190"/>
      <c r="E179" s="190"/>
      <c r="F179" s="190"/>
      <c r="G179" s="183"/>
      <c r="H179" s="184"/>
      <c r="I179" s="185"/>
    </row>
    <row r="180" spans="1:25" ht="27" customHeight="1" thickTop="1" thickBot="1" x14ac:dyDescent="0.3">
      <c r="A180" s="191"/>
      <c r="B180" s="192"/>
      <c r="C180" s="192"/>
      <c r="D180" s="192"/>
      <c r="E180" s="192"/>
      <c r="F180" s="192"/>
      <c r="G180" s="186"/>
      <c r="H180" s="187"/>
      <c r="I180" s="188"/>
    </row>
    <row r="181" spans="1:25" x14ac:dyDescent="0.25">
      <c r="A181" s="145" t="str">
        <f>VLOOKUP(A183,Kausisuunnitelma,5,1)</f>
        <v>Kova 3</v>
      </c>
      <c r="B181" s="147" t="s">
        <v>108</v>
      </c>
      <c r="C181" s="146" t="str">
        <f>VLOOKUP(A183,Kausisuunnitelma,3,1)</f>
        <v>MK pitkä</v>
      </c>
      <c r="D181" s="124"/>
      <c r="E181" s="147">
        <f>VLOOKUP(A183,Kausisuunnitelma,6,1)</f>
        <v>3</v>
      </c>
      <c r="F181" s="209" t="s">
        <v>209</v>
      </c>
      <c r="G181" s="209"/>
      <c r="H181" s="210" t="s">
        <v>210</v>
      </c>
      <c r="I181" s="211"/>
      <c r="U181" s="118"/>
      <c r="V181" s="118"/>
    </row>
    <row r="182" spans="1:25" ht="48" thickBot="1" x14ac:dyDescent="0.3">
      <c r="A182" s="125" t="s">
        <v>107</v>
      </c>
      <c r="B182" s="128">
        <f>WEEKNUM(A183,21)</f>
        <v>1</v>
      </c>
      <c r="C182" s="130" t="s">
        <v>70</v>
      </c>
      <c r="D182" s="129" t="s">
        <v>71</v>
      </c>
      <c r="E182" s="142" t="s">
        <v>159</v>
      </c>
      <c r="F182" s="121" t="s">
        <v>12</v>
      </c>
      <c r="G182" s="121" t="s">
        <v>13</v>
      </c>
      <c r="H182" s="122" t="s">
        <v>12</v>
      </c>
      <c r="I182" s="123" t="s">
        <v>13</v>
      </c>
      <c r="J182" s="2"/>
      <c r="K182" s="2"/>
      <c r="L182" s="2"/>
      <c r="M182" s="2"/>
      <c r="N182" s="2"/>
      <c r="O182" s="2"/>
      <c r="P182" s="2"/>
      <c r="Q182" s="2"/>
      <c r="R182" s="2"/>
      <c r="S182" s="2"/>
      <c r="T182" s="2" t="s">
        <v>160</v>
      </c>
    </row>
    <row r="183" spans="1:25" x14ac:dyDescent="0.25">
      <c r="A183" s="132">
        <f>A171+1</f>
        <v>44200</v>
      </c>
      <c r="B183" s="133">
        <f t="shared" ref="B183:B189" si="30">A183</f>
        <v>44200</v>
      </c>
      <c r="C183" s="134" t="str">
        <f>VLOOKUP(Y183,Intensiteettikoodi,2,1)</f>
        <v>Lepo</v>
      </c>
      <c r="D183" s="135" t="str">
        <f>IF(Alkukysely!$F$4&gt;1, "Puntti","-")</f>
        <v>-</v>
      </c>
      <c r="E183" s="143">
        <f>IF(E181&gt;0,ROUND(S183*X189,-1),VLOOKUP(Alkukysely!$E$4,Kevytkesto,2,1))</f>
        <v>0</v>
      </c>
      <c r="F183" s="136">
        <f ca="1">VLOOKUP(Y183,Intensiteettikoodi,3,1)*Harjoitusalueet!$C$5</f>
        <v>0</v>
      </c>
      <c r="G183" s="136">
        <f ca="1">VLOOKUP(Y183,Intensiteettikoodi,4,1)*Harjoitusalueet!$C$5</f>
        <v>0</v>
      </c>
      <c r="H183" s="137" t="e">
        <f t="shared" ref="H183:H189" ca="1" si="31">TIME(0,0,((2.8/F183)^(1/3))*500)</f>
        <v>#DIV/0!</v>
      </c>
      <c r="I183" s="138" t="e">
        <f ca="1">TIME(0,0,((2.8/G183)^(1/3))*500)</f>
        <v>#DIV/0!</v>
      </c>
      <c r="R183" s="119"/>
      <c r="S183" s="51">
        <f>VLOOKUP(Alkukysely!$E$4,Keskikesto,2,1)</f>
        <v>0</v>
      </c>
      <c r="Y183">
        <f>IF(E181&gt;0,VLOOKUP(Alkukysely!$E$4,Intensiteettinumero,2,1),VLOOKUP(Alkukysely!$E$4,Kevytnum,2,1))</f>
        <v>0</v>
      </c>
    </row>
    <row r="184" spans="1:25" x14ac:dyDescent="0.25">
      <c r="A184" s="126">
        <f t="shared" ref="A184:A189" si="32">A183+1</f>
        <v>44201</v>
      </c>
      <c r="B184" s="127">
        <f t="shared" si="30"/>
        <v>44201</v>
      </c>
      <c r="C184" s="131" t="str">
        <f>VLOOKUP(Y184,Intensiteettikoodi,2,1)</f>
        <v>Peruskestävyys</v>
      </c>
      <c r="D184" s="120"/>
      <c r="E184" s="144">
        <f>IF(E181&gt;0,ROUND(S184*X189,-1),VLOOKUP(Alkukysely!$E$4,Kevytkesto,3,1))</f>
        <v>50</v>
      </c>
      <c r="F184" s="139">
        <f ca="1">VLOOKUP(Y184,Intensiteettikoodi,3,1)*Harjoitusalueet!$C$5</f>
        <v>0</v>
      </c>
      <c r="G184" s="139">
        <f ca="1">VLOOKUP(Y184,Intensiteettikoodi,4,1)*Harjoitusalueet!$C$5</f>
        <v>0</v>
      </c>
      <c r="H184" s="140" t="e">
        <f t="shared" ca="1" si="31"/>
        <v>#DIV/0!</v>
      </c>
      <c r="I184" s="141" t="e">
        <f ca="1">TIME(0,0,((2.8/G184)^(1/3))*500)</f>
        <v>#DIV/0!</v>
      </c>
      <c r="R184" s="119"/>
      <c r="S184" s="51">
        <f>VLOOKUP(Alkukysely!$E$4,Keskikesto,3,1)</f>
        <v>50</v>
      </c>
      <c r="Y184">
        <f>IF(E181&gt;0,VLOOKUP(Alkukysely!$E$4,Intensiteettinumero,3,1),VLOOKUP(Alkukysely!$E$4,Kevytnum,3,1))</f>
        <v>2</v>
      </c>
    </row>
    <row r="185" spans="1:25" x14ac:dyDescent="0.25">
      <c r="A185" s="126">
        <f t="shared" si="32"/>
        <v>44202</v>
      </c>
      <c r="B185" s="127">
        <f t="shared" si="30"/>
        <v>44202</v>
      </c>
      <c r="C185" s="131" t="str">
        <f>IF(Y185=4,T185,VLOOKUP(Y185,Intensiteettikoodi,2,1))</f>
        <v>Peruskestävyys</v>
      </c>
      <c r="D185" s="120"/>
      <c r="E185" s="144">
        <f>IF(E181&gt;0,ROUND(S185*X189,-1),VLOOKUP(Alkukysely!$E$4,Kevytkesto,4,1))</f>
        <v>70</v>
      </c>
      <c r="F185" s="212">
        <f ca="1">VLOOKUP('Viikko-ohjelma'!A183,Kovat23,11,1)</f>
        <v>0</v>
      </c>
      <c r="G185" s="212"/>
      <c r="H185" s="213" t="e">
        <f t="shared" ca="1" si="31"/>
        <v>#DIV/0!</v>
      </c>
      <c r="I185" s="214"/>
      <c r="R185" s="119"/>
      <c r="S185" s="51">
        <f>VLOOKUP(Alkukysely!$E$4,Keskikesto,4,1)</f>
        <v>62.5</v>
      </c>
      <c r="T185" t="str">
        <f>IF(Alkukysely!$E$4&gt;1,VLOOKUP('Viikko-ohjelma'!A183,Kovat23,8,1),C185)</f>
        <v>Peruskestävyys</v>
      </c>
      <c r="Y185">
        <f>IF(E181&gt;0,VLOOKUP(Alkukysely!$E$4,Intensiteettinumero,4,1),VLOOKUP(Alkukysely!$E$4,Kevytnum,4,1))</f>
        <v>2</v>
      </c>
    </row>
    <row r="186" spans="1:25" x14ac:dyDescent="0.25">
      <c r="A186" s="126">
        <f t="shared" si="32"/>
        <v>44203</v>
      </c>
      <c r="B186" s="127">
        <f t="shared" si="30"/>
        <v>44203</v>
      </c>
      <c r="C186" s="131" t="str">
        <f>VLOOKUP(Y186,Intensiteettikoodi,2,1)</f>
        <v>Lepo</v>
      </c>
      <c r="D186" s="120" t="str">
        <f>IF(AND(Alkukysely!$F$4&gt;2,E181&gt;0), "Puntti","-")</f>
        <v>-</v>
      </c>
      <c r="E186" s="144">
        <f>IF(E181&gt;0,ROUND(S186*X189,-1),VLOOKUP(Alkukysely!$E$4,Kevytkesto,5,1))</f>
        <v>0</v>
      </c>
      <c r="F186" s="139">
        <f ca="1">VLOOKUP(Y186,Intensiteettikoodi,3,1)*Harjoitusalueet!$C$5</f>
        <v>0</v>
      </c>
      <c r="G186" s="139">
        <f ca="1">VLOOKUP(Y186,Intensiteettikoodi,4,1)*Harjoitusalueet!$C$5</f>
        <v>0</v>
      </c>
      <c r="H186" s="140" t="e">
        <f t="shared" ca="1" si="31"/>
        <v>#DIV/0!</v>
      </c>
      <c r="I186" s="141" t="e">
        <f ca="1">TIME(0,0,((2.8/G186)^(1/3))*500)</f>
        <v>#DIV/0!</v>
      </c>
      <c r="R186" s="119"/>
      <c r="S186" s="51">
        <f>VLOOKUP(Alkukysely!$E$4,Keskikesto,5,1)</f>
        <v>0</v>
      </c>
      <c r="X186" s="46"/>
      <c r="Y186">
        <f>IF(E181&gt;0,VLOOKUP(Alkukysely!$E$4,Intensiteettinumero,5,1),VLOOKUP(Alkukysely!$E$4,Kevytnum,5,1))</f>
        <v>0</v>
      </c>
    </row>
    <row r="187" spans="1:25" x14ac:dyDescent="0.25">
      <c r="A187" s="126">
        <f t="shared" si="32"/>
        <v>44204</v>
      </c>
      <c r="B187" s="127">
        <f t="shared" si="30"/>
        <v>44204</v>
      </c>
      <c r="C187" s="131" t="str">
        <f>VLOOKUP(Y187,Intensiteettikoodi,2,1)</f>
        <v>Lepo</v>
      </c>
      <c r="D187" s="120"/>
      <c r="E187" s="144">
        <f>IF(E181&gt;0,ROUND(S187*X189,-1),VLOOKUP(Alkukysely!$E$4,Kevytkesto,6,1))</f>
        <v>0</v>
      </c>
      <c r="F187" s="139">
        <f ca="1">VLOOKUP(Y187,Intensiteettikoodi,3,1)*Harjoitusalueet!$C$5</f>
        <v>0</v>
      </c>
      <c r="G187" s="139">
        <f ca="1">VLOOKUP(Y187,Intensiteettikoodi,4,1)*Harjoitusalueet!$C$5</f>
        <v>0</v>
      </c>
      <c r="H187" s="140" t="e">
        <f t="shared" ca="1" si="31"/>
        <v>#DIV/0!</v>
      </c>
      <c r="I187" s="141" t="e">
        <f ca="1">TIME(0,0,((2.8/G187)^(1/3))*500)</f>
        <v>#DIV/0!</v>
      </c>
      <c r="R187" s="119"/>
      <c r="S187" s="51">
        <f>VLOOKUP(Alkukysely!$E$4,Keskikesto,6,1)</f>
        <v>0</v>
      </c>
      <c r="X187" s="46"/>
      <c r="Y187">
        <f>IF(E181&gt;0,VLOOKUP(Alkukysely!$E$4,Intensiteettinumero,6,1),VLOOKUP(Alkukysely!$E$4,Kevytnum,6,1))</f>
        <v>0</v>
      </c>
    </row>
    <row r="188" spans="1:25" x14ac:dyDescent="0.25">
      <c r="A188" s="126">
        <f t="shared" si="32"/>
        <v>44205</v>
      </c>
      <c r="B188" s="127">
        <f t="shared" si="30"/>
        <v>44205</v>
      </c>
      <c r="C188" s="131" t="str">
        <f>IF(Y188=4,T188,VLOOKUP(Y188,Intensiteettikoodi,2,1))</f>
        <v>6*6min/3min</v>
      </c>
      <c r="D188" s="120"/>
      <c r="E188" s="144">
        <f>IF(E181&gt;0,ROUND(S188*X189,-1),VLOOKUP(Alkukysely!$E$4,Kevytkesto,7,1))</f>
        <v>70</v>
      </c>
      <c r="F188" s="212">
        <f ca="1">IF(Alkukysely!$E$4&gt;1,VLOOKUP('Viikko-ohjelma'!A183,Kovat23,24,1),VLOOKUP(A183,Kovat1,11,1))</f>
        <v>0</v>
      </c>
      <c r="G188" s="212"/>
      <c r="H188" s="213" t="e">
        <f t="shared" ca="1" si="31"/>
        <v>#DIV/0!</v>
      </c>
      <c r="I188" s="214"/>
      <c r="R188" s="119"/>
      <c r="S188" s="51">
        <f>VLOOKUP(Alkukysely!$E$4,Keskikesto,7,1)</f>
        <v>67.5</v>
      </c>
      <c r="T188" t="str">
        <f>IF(Alkukysely!$E$4&gt;1,VLOOKUP('Viikko-ohjelma'!A183,Kovat23,21,1),VLOOKUP(A183,Kovat1,8,1))</f>
        <v>6*6min/3min</v>
      </c>
      <c r="Y188">
        <f>IF(E181&gt;0,VLOOKUP(Alkukysely!$E$4,Intensiteettinumero,7,1),VLOOKUP(Alkukysely!$E$4,Kevytnum,7,1))</f>
        <v>4</v>
      </c>
    </row>
    <row r="189" spans="1:25" x14ac:dyDescent="0.25">
      <c r="A189" s="126">
        <f t="shared" si="32"/>
        <v>44206</v>
      </c>
      <c r="B189" s="127">
        <f t="shared" si="30"/>
        <v>44206</v>
      </c>
      <c r="C189" s="131" t="str">
        <f>VLOOKUP(Y189,Intensiteettikoodi,2,1)</f>
        <v>Pitkä peruskestävyys</v>
      </c>
      <c r="D189" s="120"/>
      <c r="E189" s="144">
        <f>IF(E181&gt;0,ROUND(S189*X189,-1),VLOOKUP(Alkukysely!$E$4,Kevytkesto,8,1))</f>
        <v>120</v>
      </c>
      <c r="F189" s="139">
        <f ca="1">VLOOKUP(Y189,Intensiteettikoodi,3,1)*Harjoitusalueet!$C$5</f>
        <v>0</v>
      </c>
      <c r="G189" s="139">
        <f ca="1">VLOOKUP(Y189,Intensiteettikoodi,4,1)*Harjoitusalueet!$C$5</f>
        <v>0</v>
      </c>
      <c r="H189" s="140" t="e">
        <f t="shared" ca="1" si="31"/>
        <v>#DIV/0!</v>
      </c>
      <c r="I189" s="141" t="e">
        <f ca="1">TIME(0,0,((2.8/G189)^(1/3))*500)</f>
        <v>#DIV/0!</v>
      </c>
      <c r="R189" s="119"/>
      <c r="S189" s="51">
        <f>VLOOKUP(Alkukysely!$E$4,Keskikesto,8,1)</f>
        <v>120</v>
      </c>
      <c r="V189">
        <f>VLOOKUP(A183,Kausisuunnitelma,7,1)</f>
        <v>5.2000000000000011</v>
      </c>
      <c r="W189">
        <f>VLOOKUP(Alkukysely!$E$4,Keskikesto,10)</f>
        <v>5</v>
      </c>
      <c r="X189">
        <f>V189/W189</f>
        <v>1.0400000000000003</v>
      </c>
      <c r="Y189">
        <f>IF(E181&gt;0,VLOOKUP(Alkukysely!$E$4,Intensiteettinumero,8,1),VLOOKUP(Alkukysely!$E$4,Kevytnum,8,1))</f>
        <v>3</v>
      </c>
    </row>
    <row r="190" spans="1:25" x14ac:dyDescent="0.25">
      <c r="A190" s="193" t="s">
        <v>207</v>
      </c>
      <c r="B190" s="194"/>
      <c r="C190" s="194"/>
      <c r="D190" s="194"/>
      <c r="E190" s="194"/>
      <c r="F190" s="195"/>
      <c r="G190" s="196" t="s">
        <v>208</v>
      </c>
      <c r="H190" s="197"/>
      <c r="I190" s="198"/>
    </row>
    <row r="191" spans="1:25" x14ac:dyDescent="0.25">
      <c r="A191" s="180" t="str">
        <f>C185</f>
        <v>Peruskestävyys</v>
      </c>
      <c r="B191" s="181"/>
      <c r="C191" s="181"/>
      <c r="D191" s="181"/>
      <c r="E191" s="181"/>
      <c r="F191" s="202"/>
      <c r="G191" s="199"/>
      <c r="H191" s="200"/>
      <c r="I191" s="201"/>
    </row>
    <row r="192" spans="1:25" x14ac:dyDescent="0.25">
      <c r="A192" s="184">
        <f>VLOOKUP(A183,Kovat23,34,1)</f>
        <v>0</v>
      </c>
      <c r="B192" s="184"/>
      <c r="C192" s="184"/>
      <c r="D192" s="184"/>
      <c r="E192" s="184"/>
      <c r="F192" s="203"/>
      <c r="G192" s="183" t="str">
        <f>IF(Alkukysely!$E$4&gt;1,VLOOKUP(A183,Kovat23,35,1),"-")</f>
        <v>-</v>
      </c>
      <c r="H192" s="184"/>
      <c r="I192" s="185"/>
    </row>
    <row r="193" spans="1:25" x14ac:dyDescent="0.25">
      <c r="A193" s="184"/>
      <c r="B193" s="184"/>
      <c r="C193" s="184"/>
      <c r="D193" s="184"/>
      <c r="E193" s="184"/>
      <c r="F193" s="203"/>
      <c r="G193" s="183"/>
      <c r="H193" s="184"/>
      <c r="I193" s="185"/>
    </row>
    <row r="194" spans="1:25" ht="46.5" customHeight="1" thickBot="1" x14ac:dyDescent="0.3">
      <c r="A194" s="204"/>
      <c r="B194" s="204"/>
      <c r="C194" s="204"/>
      <c r="D194" s="204"/>
      <c r="E194" s="204"/>
      <c r="F194" s="205"/>
      <c r="G194" s="206"/>
      <c r="H194" s="207"/>
      <c r="I194" s="208"/>
    </row>
    <row r="195" spans="1:25" ht="17.25" thickTop="1" thickBot="1" x14ac:dyDescent="0.3">
      <c r="A195" s="180" t="str">
        <f>C188</f>
        <v>6*6min/3min</v>
      </c>
      <c r="B195" s="181"/>
      <c r="C195" s="181"/>
      <c r="D195" s="181"/>
      <c r="E195" s="181"/>
      <c r="F195" s="182"/>
      <c r="G195" s="183" t="str">
        <f>IF(Alkukysely!$E$4&gt;1,VLOOKUP(A183,Kovat23,37,1),VLOOKUP(A183,Kovat1,35,1))</f>
        <v>15 min alkulämppä + 15min loppujäähdyttely</v>
      </c>
      <c r="H195" s="184"/>
      <c r="I195" s="185"/>
    </row>
    <row r="196" spans="1:25" ht="17.25" thickTop="1" thickBot="1" x14ac:dyDescent="0.3">
      <c r="A196" s="189" t="str">
        <f>IF(Alkukysely!$E$4&gt;1,VLOOKUP(A183,Kovat23,36,1),VLOOKUP(A183,Kovat1,34,1))</f>
        <v>Tavoiteteho on sama kuin viime viikolla, mutta intervallien määrää kasvatetaan viime viikosta.</v>
      </c>
      <c r="B196" s="190"/>
      <c r="C196" s="190"/>
      <c r="D196" s="190"/>
      <c r="E196" s="190"/>
      <c r="F196" s="190"/>
      <c r="G196" s="183"/>
      <c r="H196" s="184"/>
      <c r="I196" s="185"/>
    </row>
    <row r="197" spans="1:25" ht="17.25" thickTop="1" thickBot="1" x14ac:dyDescent="0.3">
      <c r="A197" s="189"/>
      <c r="B197" s="190"/>
      <c r="C197" s="190"/>
      <c r="D197" s="190"/>
      <c r="E197" s="190"/>
      <c r="F197" s="190"/>
      <c r="G197" s="183"/>
      <c r="H197" s="184"/>
      <c r="I197" s="185"/>
    </row>
    <row r="198" spans="1:25" ht="30.75" customHeight="1" thickTop="1" thickBot="1" x14ac:dyDescent="0.3">
      <c r="A198" s="191"/>
      <c r="B198" s="192"/>
      <c r="C198" s="192"/>
      <c r="D198" s="192"/>
      <c r="E198" s="192"/>
      <c r="F198" s="192"/>
      <c r="G198" s="186"/>
      <c r="H198" s="187"/>
      <c r="I198" s="188"/>
    </row>
    <row r="199" spans="1:25" x14ac:dyDescent="0.25">
      <c r="A199" s="145" t="str">
        <f>VLOOKUP(A201,Kausisuunnitelma,5,1)</f>
        <v>Kevyt</v>
      </c>
      <c r="B199" s="147" t="s">
        <v>108</v>
      </c>
      <c r="C199" s="146" t="str">
        <f>VLOOKUP(A201,Kausisuunnitelma,3,1)</f>
        <v>MK pitkä</v>
      </c>
      <c r="D199" s="124"/>
      <c r="E199" s="147">
        <f>VLOOKUP(A201,Kausisuunnitelma,6,1)</f>
        <v>0</v>
      </c>
      <c r="F199" s="209" t="s">
        <v>209</v>
      </c>
      <c r="G199" s="209"/>
      <c r="H199" s="210" t="s">
        <v>210</v>
      </c>
      <c r="I199" s="211"/>
      <c r="U199" s="118"/>
      <c r="V199" s="118"/>
    </row>
    <row r="200" spans="1:25" ht="48" thickBot="1" x14ac:dyDescent="0.3">
      <c r="A200" s="125" t="s">
        <v>107</v>
      </c>
      <c r="B200" s="128">
        <f>WEEKNUM(A201,21)</f>
        <v>2</v>
      </c>
      <c r="C200" s="130" t="s">
        <v>70</v>
      </c>
      <c r="D200" s="129" t="s">
        <v>71</v>
      </c>
      <c r="E200" s="142" t="s">
        <v>159</v>
      </c>
      <c r="F200" s="121" t="s">
        <v>12</v>
      </c>
      <c r="G200" s="121" t="s">
        <v>13</v>
      </c>
      <c r="H200" s="122" t="s">
        <v>12</v>
      </c>
      <c r="I200" s="123" t="s">
        <v>13</v>
      </c>
      <c r="J200" s="2"/>
      <c r="K200" s="2"/>
      <c r="L200" s="2"/>
      <c r="M200" s="2"/>
      <c r="N200" s="2"/>
      <c r="O200" s="2"/>
      <c r="P200" s="2"/>
      <c r="Q200" s="2"/>
      <c r="R200" s="2"/>
      <c r="S200" s="2"/>
      <c r="T200" s="2" t="s">
        <v>160</v>
      </c>
    </row>
    <row r="201" spans="1:25" x14ac:dyDescent="0.25">
      <c r="A201" s="132">
        <f>A189+1</f>
        <v>44207</v>
      </c>
      <c r="B201" s="133">
        <f t="shared" ref="B201:B207" si="33">A201</f>
        <v>44207</v>
      </c>
      <c r="C201" s="134" t="str">
        <f>VLOOKUP(Y201,Intensiteettikoodi,2,1)</f>
        <v>Lepo</v>
      </c>
      <c r="D201" s="135" t="str">
        <f>IF(Alkukysely!$F$4&gt;1, "Puntti","-")</f>
        <v>-</v>
      </c>
      <c r="E201" s="143">
        <f>IF(E199&gt;0,ROUND(S201*X207,-1),VLOOKUP(Alkukysely!$E$4,Kevytkesto,2,1))</f>
        <v>0</v>
      </c>
      <c r="F201" s="136">
        <f ca="1">VLOOKUP(Y201,Intensiteettikoodi,3,1)*Harjoitusalueet!$C$5</f>
        <v>0</v>
      </c>
      <c r="G201" s="136">
        <f ca="1">VLOOKUP(Y201,Intensiteettikoodi,4,1)*Harjoitusalueet!$C$5</f>
        <v>0</v>
      </c>
      <c r="H201" s="137" t="e">
        <f t="shared" ref="H201:H207" ca="1" si="34">TIME(0,0,((2.8/F201)^(1/3))*500)</f>
        <v>#DIV/0!</v>
      </c>
      <c r="I201" s="138" t="e">
        <f ca="1">TIME(0,0,((2.8/G201)^(1/3))*500)</f>
        <v>#DIV/0!</v>
      </c>
      <c r="R201" s="119"/>
      <c r="S201" s="51">
        <f>VLOOKUP(Alkukysely!$E$4,Keskikesto,2,1)</f>
        <v>0</v>
      </c>
      <c r="Y201">
        <f>IF(E199&gt;0,VLOOKUP(Alkukysely!$E$4,Intensiteettinumero,2,1),VLOOKUP(Alkukysely!$E$4,Kevytnum,2,1))</f>
        <v>0</v>
      </c>
    </row>
    <row r="202" spans="1:25" x14ac:dyDescent="0.25">
      <c r="A202" s="126">
        <f t="shared" ref="A202:A207" si="35">A201+1</f>
        <v>44208</v>
      </c>
      <c r="B202" s="127">
        <f t="shared" si="33"/>
        <v>44208</v>
      </c>
      <c r="C202" s="131" t="str">
        <f>VLOOKUP(Y202,Intensiteettikoodi,2,1)</f>
        <v>Lepo</v>
      </c>
      <c r="D202" s="120"/>
      <c r="E202" s="144">
        <f>IF(E199&gt;0,ROUND(S202*X207,-1),VLOOKUP(Alkukysely!$E$4,Kevytkesto,3,1))</f>
        <v>0</v>
      </c>
      <c r="F202" s="139">
        <f ca="1">VLOOKUP(Y202,Intensiteettikoodi,3,1)*Harjoitusalueet!$C$5</f>
        <v>0</v>
      </c>
      <c r="G202" s="139">
        <f ca="1">VLOOKUP(Y202,Intensiteettikoodi,4,1)*Harjoitusalueet!$C$5</f>
        <v>0</v>
      </c>
      <c r="H202" s="140" t="e">
        <f t="shared" ca="1" si="34"/>
        <v>#DIV/0!</v>
      </c>
      <c r="I202" s="141" t="e">
        <f ca="1">TIME(0,0,((2.8/G202)^(1/3))*500)</f>
        <v>#DIV/0!</v>
      </c>
      <c r="R202" s="119"/>
      <c r="S202" s="51">
        <f>VLOOKUP(Alkukysely!$E$4,Keskikesto,3,1)</f>
        <v>50</v>
      </c>
      <c r="Y202">
        <f>IF(E199&gt;0,VLOOKUP(Alkukysely!$E$4,Intensiteettinumero,3,1),VLOOKUP(Alkukysely!$E$4,Kevytnum,3,1))</f>
        <v>0</v>
      </c>
    </row>
    <row r="203" spans="1:25" x14ac:dyDescent="0.25">
      <c r="A203" s="126">
        <f t="shared" si="35"/>
        <v>44209</v>
      </c>
      <c r="B203" s="127">
        <f t="shared" si="33"/>
        <v>44209</v>
      </c>
      <c r="C203" s="131" t="str">
        <f>IF(Y203=4,T203,VLOOKUP(Y203,Intensiteettikoodi,2,1))</f>
        <v>Peruskestävyys</v>
      </c>
      <c r="D203" s="120"/>
      <c r="E203" s="144">
        <f>IF(E199&gt;0,ROUND(S203*X207,-1),VLOOKUP(Alkukysely!$E$4,Kevytkesto,4,1))</f>
        <v>60</v>
      </c>
      <c r="F203" s="212">
        <f ca="1">IF(Alkukysely!$E$4&gt;1,VLOOKUP('Viikko-ohjelma'!A201,Kovat23,11,1),VLOOKUP(Y203,Intensiteettikoodi,3,1)*Harjoitusalueet!$C$5)</f>
        <v>0</v>
      </c>
      <c r="G203" s="212"/>
      <c r="H203" s="213" t="e">
        <f t="shared" ca="1" si="34"/>
        <v>#DIV/0!</v>
      </c>
      <c r="I203" s="214"/>
      <c r="R203" s="119"/>
      <c r="S203" s="51">
        <f>VLOOKUP(Alkukysely!$E$4,Keskikesto,4,1)</f>
        <v>62.5</v>
      </c>
      <c r="T203" t="str">
        <f>IF(Alkukysely!$E$4&gt;1,VLOOKUP('Viikko-ohjelma'!A201,Kovat23,8,1),C203)</f>
        <v>Peruskestävyys</v>
      </c>
      <c r="Y203">
        <f>IF(E199&gt;0,VLOOKUP(Alkukysely!$E$4,Intensiteettinumero,4,1),VLOOKUP(Alkukysely!$E$4,Kevytnum,4,1))</f>
        <v>2</v>
      </c>
    </row>
    <row r="204" spans="1:25" x14ac:dyDescent="0.25">
      <c r="A204" s="126">
        <f t="shared" si="35"/>
        <v>44210</v>
      </c>
      <c r="B204" s="127">
        <f t="shared" si="33"/>
        <v>44210</v>
      </c>
      <c r="C204" s="131" t="str">
        <f>VLOOKUP(Y204,Intensiteettikoodi,2,1)</f>
        <v>Lepo</v>
      </c>
      <c r="D204" s="120" t="str">
        <f>IF(AND(Alkukysely!$F$4&gt;2,E199&gt;0), "Puntti","-")</f>
        <v>-</v>
      </c>
      <c r="E204" s="144">
        <f>IF(E199&gt;0,ROUND(S204*X207,-1),VLOOKUP(Alkukysely!$E$4,Kevytkesto,5,1))</f>
        <v>0</v>
      </c>
      <c r="F204" s="139">
        <f ca="1">VLOOKUP(Y204,Intensiteettikoodi,3,1)*Harjoitusalueet!$C$5</f>
        <v>0</v>
      </c>
      <c r="G204" s="139">
        <f ca="1">VLOOKUP(Y204,Intensiteettikoodi,4,1)*Harjoitusalueet!$C$5</f>
        <v>0</v>
      </c>
      <c r="H204" s="140" t="e">
        <f t="shared" ca="1" si="34"/>
        <v>#DIV/0!</v>
      </c>
      <c r="I204" s="141" t="e">
        <f ca="1">TIME(0,0,((2.8/G204)^(1/3))*500)</f>
        <v>#DIV/0!</v>
      </c>
      <c r="R204" s="119"/>
      <c r="S204" s="51">
        <f>VLOOKUP(Alkukysely!$E$4,Keskikesto,5,1)</f>
        <v>0</v>
      </c>
      <c r="X204" s="46"/>
      <c r="Y204">
        <f>IF(E199&gt;0,VLOOKUP(Alkukysely!$E$4,Intensiteettinumero,5,1),VLOOKUP(Alkukysely!$E$4,Kevytnum,5,1))</f>
        <v>0</v>
      </c>
    </row>
    <row r="205" spans="1:25" x14ac:dyDescent="0.25">
      <c r="A205" s="126">
        <f t="shared" si="35"/>
        <v>44211</v>
      </c>
      <c r="B205" s="127">
        <f t="shared" si="33"/>
        <v>44211</v>
      </c>
      <c r="C205" s="131" t="str">
        <f>VLOOKUP(Y205,Intensiteettikoodi,2,1)</f>
        <v>Palauttava</v>
      </c>
      <c r="D205" s="120"/>
      <c r="E205" s="144">
        <f>IF(E199&gt;0,ROUND(S205*X207,-1),VLOOKUP(Alkukysely!$E$4,Kevytkesto,6,1))</f>
        <v>45</v>
      </c>
      <c r="F205" s="139">
        <f ca="1">VLOOKUP(Y205,Intensiteettikoodi,3,1)*Harjoitusalueet!$C$5</f>
        <v>0</v>
      </c>
      <c r="G205" s="139">
        <f ca="1">VLOOKUP(Y205,Intensiteettikoodi,4,1)*Harjoitusalueet!$C$5</f>
        <v>0</v>
      </c>
      <c r="H205" s="140" t="e">
        <f t="shared" ca="1" si="34"/>
        <v>#DIV/0!</v>
      </c>
      <c r="I205" s="141" t="e">
        <f ca="1">TIME(0,0,((2.8/G205)^(1/3))*500)</f>
        <v>#DIV/0!</v>
      </c>
      <c r="R205" s="119"/>
      <c r="S205" s="51">
        <f>VLOOKUP(Alkukysely!$E$4,Keskikesto,6,1)</f>
        <v>0</v>
      </c>
      <c r="X205" s="46"/>
      <c r="Y205">
        <f>IF(E199&gt;0,VLOOKUP(Alkukysely!$E$4,Intensiteettinumero,6,1),VLOOKUP(Alkukysely!$E$4,Kevytnum,6,1))</f>
        <v>1</v>
      </c>
    </row>
    <row r="206" spans="1:25" x14ac:dyDescent="0.25">
      <c r="A206" s="126">
        <f t="shared" si="35"/>
        <v>44212</v>
      </c>
      <c r="B206" s="127">
        <f t="shared" si="33"/>
        <v>44212</v>
      </c>
      <c r="C206" s="131" t="str">
        <f>IF(Y206=4,T206,VLOOKUP(Y206,Intensiteettikoodi,2,1))</f>
        <v>Lepo</v>
      </c>
      <c r="D206" s="120"/>
      <c r="E206" s="144">
        <f>IF(E199&gt;0,ROUND(S206*X207,-1),VLOOKUP(Alkukysely!$E$4,Kevytkesto,7,1))</f>
        <v>0</v>
      </c>
      <c r="F206" s="212">
        <f>IF(Alkukysely!$E$4&gt;1,VLOOKUP('Viikko-ohjelma'!A201,Kovat23,24,1),VLOOKUP(A201,Kovat1,11,1))</f>
        <v>0</v>
      </c>
      <c r="G206" s="212"/>
      <c r="H206" s="213" t="e">
        <f t="shared" si="34"/>
        <v>#DIV/0!</v>
      </c>
      <c r="I206" s="214"/>
      <c r="R206" s="119"/>
      <c r="S206" s="51">
        <f>VLOOKUP(Alkukysely!$E$4,Keskikesto,7,1)</f>
        <v>67.5</v>
      </c>
      <c r="T206" t="str">
        <f>IF(Alkukysely!$E$4&gt;1,VLOOKUP('Viikko-ohjelma'!A201,Kovat23,21,1),VLOOKUP(A201,Kovat1,8,1))</f>
        <v>LEPO</v>
      </c>
      <c r="Y206">
        <f>IF(E199&gt;0,VLOOKUP(Alkukysely!$E$4,Intensiteettinumero,7,1),VLOOKUP(Alkukysely!$E$4,Kevytnum,7,1))</f>
        <v>0</v>
      </c>
    </row>
    <row r="207" spans="1:25" x14ac:dyDescent="0.25">
      <c r="A207" s="126">
        <f t="shared" si="35"/>
        <v>44213</v>
      </c>
      <c r="B207" s="127">
        <f t="shared" si="33"/>
        <v>44213</v>
      </c>
      <c r="C207" s="131" t="str">
        <f>VLOOKUP(Y207,Intensiteettikoodi,2,1)</f>
        <v>Pitkä peruskestävyys</v>
      </c>
      <c r="D207" s="120"/>
      <c r="E207" s="144">
        <f>IF(E199&gt;0,ROUND(S207*X207,-1),VLOOKUP(Alkukysely!$E$4,Kevytkesto,8,1))</f>
        <v>75</v>
      </c>
      <c r="F207" s="139">
        <f ca="1">VLOOKUP(Y207,Intensiteettikoodi,3,1)*Harjoitusalueet!$C$5</f>
        <v>0</v>
      </c>
      <c r="G207" s="139">
        <f ca="1">VLOOKUP(Y207,Intensiteettikoodi,4,1)*Harjoitusalueet!$C$5</f>
        <v>0</v>
      </c>
      <c r="H207" s="140" t="e">
        <f t="shared" ca="1" si="34"/>
        <v>#DIV/0!</v>
      </c>
      <c r="I207" s="141" t="e">
        <f ca="1">TIME(0,0,((2.8/G207)^(1/3))*500)</f>
        <v>#DIV/0!</v>
      </c>
      <c r="R207" s="119"/>
      <c r="S207" s="51">
        <f>VLOOKUP(Alkukysely!$E$4,Keskikesto,8,1)</f>
        <v>120</v>
      </c>
      <c r="V207">
        <f>VLOOKUP(A201,Kausisuunnitelma,7,1)</f>
        <v>3</v>
      </c>
      <c r="W207">
        <f>VLOOKUP(Alkukysely!$E$4,Keskikesto,10)</f>
        <v>5</v>
      </c>
      <c r="X207">
        <f>V207/W207</f>
        <v>0.6</v>
      </c>
      <c r="Y207">
        <f>IF(E199&gt;0,VLOOKUP(Alkukysely!$E$4,Intensiteettinumero,8,1),VLOOKUP(Alkukysely!$E$4,Kevytnum,8,1))</f>
        <v>3</v>
      </c>
    </row>
    <row r="208" spans="1:25" x14ac:dyDescent="0.25">
      <c r="A208" s="193" t="s">
        <v>207</v>
      </c>
      <c r="B208" s="194"/>
      <c r="C208" s="194"/>
      <c r="D208" s="194"/>
      <c r="E208" s="194"/>
      <c r="F208" s="195"/>
      <c r="G208" s="196" t="s">
        <v>208</v>
      </c>
      <c r="H208" s="197"/>
      <c r="I208" s="198"/>
    </row>
    <row r="209" spans="1:25" x14ac:dyDescent="0.25">
      <c r="A209" s="180"/>
      <c r="B209" s="181"/>
      <c r="C209" s="181"/>
      <c r="D209" s="181"/>
      <c r="E209" s="181"/>
      <c r="F209" s="202"/>
      <c r="G209" s="199"/>
      <c r="H209" s="200"/>
      <c r="I209" s="201"/>
    </row>
    <row r="210" spans="1:25" x14ac:dyDescent="0.25">
      <c r="A210" s="184"/>
      <c r="B210" s="184"/>
      <c r="C210" s="184"/>
      <c r="D210" s="184"/>
      <c r="E210" s="184"/>
      <c r="F210" s="203"/>
      <c r="G210" s="183" t="str">
        <f>IF(Alkukysely!$E$4&gt;1,VLOOKUP(A201,Kovat23,35,1),"-")</f>
        <v>-</v>
      </c>
      <c r="H210" s="184"/>
      <c r="I210" s="185"/>
    </row>
    <row r="211" spans="1:25" x14ac:dyDescent="0.25">
      <c r="A211" s="184"/>
      <c r="B211" s="184"/>
      <c r="C211" s="184"/>
      <c r="D211" s="184"/>
      <c r="E211" s="184"/>
      <c r="F211" s="203"/>
      <c r="G211" s="183"/>
      <c r="H211" s="184"/>
      <c r="I211" s="185"/>
    </row>
    <row r="212" spans="1:25" ht="57.75" customHeight="1" thickBot="1" x14ac:dyDescent="0.3">
      <c r="A212" s="204"/>
      <c r="B212" s="204"/>
      <c r="C212" s="204"/>
      <c r="D212" s="204"/>
      <c r="E212" s="204"/>
      <c r="F212" s="205"/>
      <c r="G212" s="206"/>
      <c r="H212" s="207"/>
      <c r="I212" s="208"/>
    </row>
    <row r="213" spans="1:25" ht="17.25" thickTop="1" thickBot="1" x14ac:dyDescent="0.3">
      <c r="A213" s="180" t="str">
        <f>C206</f>
        <v>Lepo</v>
      </c>
      <c r="B213" s="181"/>
      <c r="C213" s="181"/>
      <c r="D213" s="181"/>
      <c r="E213" s="181"/>
      <c r="F213" s="182"/>
      <c r="G213" s="183" t="str">
        <f>IF(Alkukysely!$E$4&gt;1,VLOOKUP(A201,Kovat23,37,1),VLOOKUP(A201,Kovat1,35,1))</f>
        <v>20 min alkulämppä + 20 min loppujäähdyttely</v>
      </c>
      <c r="H213" s="184"/>
      <c r="I213" s="185"/>
    </row>
    <row r="214" spans="1:25" ht="17.25" thickTop="1" thickBot="1" x14ac:dyDescent="0.3">
      <c r="A214" s="189">
        <f>IF(Alkukysely!$E$4&gt;1,VLOOKUP(A201,Kovat23,36,1),VLOOKUP(A201,Kovat1,34,1))</f>
        <v>0</v>
      </c>
      <c r="B214" s="190"/>
      <c r="C214" s="190"/>
      <c r="D214" s="190"/>
      <c r="E214" s="190"/>
      <c r="F214" s="190"/>
      <c r="G214" s="183"/>
      <c r="H214" s="184"/>
      <c r="I214" s="185"/>
    </row>
    <row r="215" spans="1:25" ht="17.25" thickTop="1" thickBot="1" x14ac:dyDescent="0.3">
      <c r="A215" s="189"/>
      <c r="B215" s="190"/>
      <c r="C215" s="190"/>
      <c r="D215" s="190"/>
      <c r="E215" s="190"/>
      <c r="F215" s="190"/>
      <c r="G215" s="183"/>
      <c r="H215" s="184"/>
      <c r="I215" s="185"/>
    </row>
    <row r="216" spans="1:25" ht="59.25" customHeight="1" thickTop="1" thickBot="1" x14ac:dyDescent="0.3">
      <c r="A216" s="191"/>
      <c r="B216" s="192"/>
      <c r="C216" s="192"/>
      <c r="D216" s="192"/>
      <c r="E216" s="192"/>
      <c r="F216" s="192"/>
      <c r="G216" s="186"/>
      <c r="H216" s="187"/>
      <c r="I216" s="188"/>
    </row>
    <row r="217" spans="1:25" x14ac:dyDescent="0.25">
      <c r="A217" s="145" t="str">
        <f>VLOOKUP(A219,Kausisuunnitelma,5,1)</f>
        <v>Kova 1</v>
      </c>
      <c r="B217" s="147" t="s">
        <v>108</v>
      </c>
      <c r="C217" s="146" t="str">
        <f>VLOOKUP(A219,Kausisuunnitelma,3,1)</f>
        <v>MK lyhyt</v>
      </c>
      <c r="D217" s="124"/>
      <c r="E217" s="147">
        <f>VLOOKUP(A219,Kausisuunnitelma,6,1)</f>
        <v>1</v>
      </c>
      <c r="F217" s="209" t="s">
        <v>209</v>
      </c>
      <c r="G217" s="209"/>
      <c r="H217" s="210" t="s">
        <v>210</v>
      </c>
      <c r="I217" s="211"/>
      <c r="U217" s="118"/>
      <c r="V217" s="118"/>
    </row>
    <row r="218" spans="1:25" ht="48" thickBot="1" x14ac:dyDescent="0.3">
      <c r="A218" s="125" t="s">
        <v>107</v>
      </c>
      <c r="B218" s="128">
        <f>WEEKNUM(A219,21)</f>
        <v>3</v>
      </c>
      <c r="C218" s="130" t="s">
        <v>70</v>
      </c>
      <c r="D218" s="129" t="s">
        <v>71</v>
      </c>
      <c r="E218" s="142" t="s">
        <v>159</v>
      </c>
      <c r="F218" s="121" t="s">
        <v>12</v>
      </c>
      <c r="G218" s="121" t="s">
        <v>13</v>
      </c>
      <c r="H218" s="122" t="s">
        <v>12</v>
      </c>
      <c r="I218" s="123" t="s">
        <v>13</v>
      </c>
      <c r="J218" s="2"/>
      <c r="K218" s="2"/>
      <c r="L218" s="2"/>
      <c r="M218" s="2"/>
      <c r="N218" s="2"/>
      <c r="O218" s="2"/>
      <c r="P218" s="2"/>
      <c r="Q218" s="2"/>
      <c r="R218" s="2"/>
      <c r="S218" s="2"/>
      <c r="T218" s="2" t="s">
        <v>160</v>
      </c>
    </row>
    <row r="219" spans="1:25" x14ac:dyDescent="0.25">
      <c r="A219" s="132">
        <f>A207+1</f>
        <v>44214</v>
      </c>
      <c r="B219" s="133">
        <f t="shared" ref="B219:B225" si="36">A219</f>
        <v>44214</v>
      </c>
      <c r="C219" s="134" t="str">
        <f>VLOOKUP(Y219,Intensiteettikoodi,2,1)</f>
        <v>Lepo</v>
      </c>
      <c r="D219" s="135" t="str">
        <f>IF(Alkukysely!$F$4&gt;1, "Puntti","-")</f>
        <v>-</v>
      </c>
      <c r="E219" s="143">
        <f>IF(E217&gt;0,ROUND(S219*X225,-1),VLOOKUP(Alkukysely!$E$4,Kevytkesto,2,1))</f>
        <v>0</v>
      </c>
      <c r="F219" s="136">
        <f ca="1">VLOOKUP(Y219,Intensiteettikoodi,3,1)*Harjoitusalueet!$C$5</f>
        <v>0</v>
      </c>
      <c r="G219" s="136">
        <f ca="1">VLOOKUP(Y219,Intensiteettikoodi,4,1)*Harjoitusalueet!$C$5</f>
        <v>0</v>
      </c>
      <c r="H219" s="137" t="e">
        <f t="shared" ref="H219:H225" ca="1" si="37">TIME(0,0,((2.8/F219)^(1/3))*500)</f>
        <v>#DIV/0!</v>
      </c>
      <c r="I219" s="138" t="e">
        <f ca="1">TIME(0,0,((2.8/G219)^(1/3))*500)</f>
        <v>#DIV/0!</v>
      </c>
      <c r="R219" s="119"/>
      <c r="S219" s="51">
        <f>VLOOKUP(Alkukysely!$E$4,Keskikesto,2,1)</f>
        <v>0</v>
      </c>
      <c r="Y219">
        <f>IF(E217&gt;0,VLOOKUP(Alkukysely!$E$4,Intensiteettinumero,2,1),VLOOKUP(Alkukysely!$E$4,Kevytnum,2,1))</f>
        <v>0</v>
      </c>
    </row>
    <row r="220" spans="1:25" x14ac:dyDescent="0.25">
      <c r="A220" s="126">
        <f t="shared" ref="A220:A225" si="38">A219+1</f>
        <v>44215</v>
      </c>
      <c r="B220" s="127">
        <f t="shared" si="36"/>
        <v>44215</v>
      </c>
      <c r="C220" s="131" t="str">
        <f>VLOOKUP(Y220,Intensiteettikoodi,2,1)</f>
        <v>Peruskestävyys</v>
      </c>
      <c r="D220" s="120"/>
      <c r="E220" s="144">
        <f>IF(E217&gt;0,ROUND(S220*X225,-1),VLOOKUP(Alkukysely!$E$4,Kevytkesto,3,1))</f>
        <v>50</v>
      </c>
      <c r="F220" s="139">
        <f ca="1">VLOOKUP(Y220,Intensiteettikoodi,3,1)*Harjoitusalueet!$C$5</f>
        <v>0</v>
      </c>
      <c r="G220" s="139">
        <f ca="1">VLOOKUP(Y220,Intensiteettikoodi,4,1)*Harjoitusalueet!$C$5</f>
        <v>0</v>
      </c>
      <c r="H220" s="140" t="e">
        <f t="shared" ca="1" si="37"/>
        <v>#DIV/0!</v>
      </c>
      <c r="I220" s="141" t="e">
        <f ca="1">TIME(0,0,((2.8/G220)^(1/3))*500)</f>
        <v>#DIV/0!</v>
      </c>
      <c r="R220" s="119"/>
      <c r="S220" s="51">
        <f>VLOOKUP(Alkukysely!$E$4,Keskikesto,3,1)</f>
        <v>50</v>
      </c>
      <c r="Y220">
        <f>IF(E217&gt;0,VLOOKUP(Alkukysely!$E$4,Intensiteettinumero,3,1),VLOOKUP(Alkukysely!$E$4,Kevytnum,3,1))</f>
        <v>2</v>
      </c>
    </row>
    <row r="221" spans="1:25" x14ac:dyDescent="0.25">
      <c r="A221" s="126">
        <f t="shared" si="38"/>
        <v>44216</v>
      </c>
      <c r="B221" s="127">
        <f t="shared" si="36"/>
        <v>44216</v>
      </c>
      <c r="C221" s="131" t="str">
        <f>IF(Y221=4,T221,VLOOKUP(Y221,Intensiteettikoodi,2,1))</f>
        <v>Peruskestävyys</v>
      </c>
      <c r="D221" s="120"/>
      <c r="E221" s="144">
        <f>IF(E217&gt;0,ROUND(S221*X225,-1),VLOOKUP(Alkukysely!$E$4,Kevytkesto,4,1))</f>
        <v>60</v>
      </c>
      <c r="F221" s="212">
        <f ca="1">IF(Alkukysely!$E$4&gt;1,VLOOKUP('Viikko-ohjelma'!A219,Kovat23,11,1),VLOOKUP(Y221,Intensiteettikoodi,3,1)*Harjoitusalueet!$C$5)</f>
        <v>0</v>
      </c>
      <c r="G221" s="212"/>
      <c r="H221" s="213" t="e">
        <f t="shared" ca="1" si="37"/>
        <v>#DIV/0!</v>
      </c>
      <c r="I221" s="214"/>
      <c r="R221" s="119"/>
      <c r="S221" s="51">
        <f>VLOOKUP(Alkukysely!$E$4,Keskikesto,4,1)</f>
        <v>62.5</v>
      </c>
      <c r="T221" t="str">
        <f>IF(Alkukysely!$E$4&gt;1,VLOOKUP('Viikko-ohjelma'!A219,Kovat23,8,1),C221)</f>
        <v>Peruskestävyys</v>
      </c>
      <c r="Y221">
        <f>IF(E217&gt;0,VLOOKUP(Alkukysely!$E$4,Intensiteettinumero,4,1),VLOOKUP(Alkukysely!$E$4,Kevytnum,4,1))</f>
        <v>2</v>
      </c>
    </row>
    <row r="222" spans="1:25" x14ac:dyDescent="0.25">
      <c r="A222" s="126">
        <f t="shared" si="38"/>
        <v>44217</v>
      </c>
      <c r="B222" s="127">
        <f t="shared" si="36"/>
        <v>44217</v>
      </c>
      <c r="C222" s="131" t="str">
        <f>VLOOKUP(Y222,Intensiteettikoodi,2,1)</f>
        <v>Lepo</v>
      </c>
      <c r="D222" s="120" t="str">
        <f>IF(AND(Alkukysely!$F$4&gt;2,E217&gt;0), "Puntti","-")</f>
        <v>-</v>
      </c>
      <c r="E222" s="144">
        <f>IF(E217&gt;0,ROUND(S222*X225,-1),VLOOKUP(Alkukysely!$E$4,Kevytkesto,5,1))</f>
        <v>0</v>
      </c>
      <c r="F222" s="139">
        <f ca="1">VLOOKUP(Y222,Intensiteettikoodi,3,1)*Harjoitusalueet!$C$5</f>
        <v>0</v>
      </c>
      <c r="G222" s="139">
        <f ca="1">VLOOKUP(Y222,Intensiteettikoodi,4,1)*Harjoitusalueet!$C$5</f>
        <v>0</v>
      </c>
      <c r="H222" s="140" t="e">
        <f t="shared" ca="1" si="37"/>
        <v>#DIV/0!</v>
      </c>
      <c r="I222" s="141" t="e">
        <f ca="1">TIME(0,0,((2.8/G222)^(1/3))*500)</f>
        <v>#DIV/0!</v>
      </c>
      <c r="R222" s="119"/>
      <c r="S222" s="51">
        <f>VLOOKUP(Alkukysely!$E$4,Keskikesto,5,1)</f>
        <v>0</v>
      </c>
      <c r="X222" s="46"/>
      <c r="Y222">
        <f>IF(E217&gt;0,VLOOKUP(Alkukysely!$E$4,Intensiteettinumero,5,1),VLOOKUP(Alkukysely!$E$4,Kevytnum,5,1))</f>
        <v>0</v>
      </c>
    </row>
    <row r="223" spans="1:25" x14ac:dyDescent="0.25">
      <c r="A223" s="126">
        <f t="shared" si="38"/>
        <v>44218</v>
      </c>
      <c r="B223" s="127">
        <f t="shared" si="36"/>
        <v>44218</v>
      </c>
      <c r="C223" s="131" t="str">
        <f>VLOOKUP(Y223,Intensiteettikoodi,2,1)</f>
        <v>Lepo</v>
      </c>
      <c r="D223" s="120"/>
      <c r="E223" s="144">
        <f>IF(E217&gt;0,ROUND(S223*X225,-1),VLOOKUP(Alkukysely!$E$4,Kevytkesto,6,1))</f>
        <v>0</v>
      </c>
      <c r="F223" s="139">
        <f ca="1">VLOOKUP(Y223,Intensiteettikoodi,3,1)*Harjoitusalueet!$C$5</f>
        <v>0</v>
      </c>
      <c r="G223" s="139">
        <f ca="1">VLOOKUP(Y223,Intensiteettikoodi,4,1)*Harjoitusalueet!$C$5</f>
        <v>0</v>
      </c>
      <c r="H223" s="140" t="e">
        <f t="shared" ca="1" si="37"/>
        <v>#DIV/0!</v>
      </c>
      <c r="I223" s="141" t="e">
        <f ca="1">TIME(0,0,((2.8/G223)^(1/3))*500)</f>
        <v>#DIV/0!</v>
      </c>
      <c r="R223" s="119"/>
      <c r="S223" s="51">
        <f>VLOOKUP(Alkukysely!$E$4,Keskikesto,6,1)</f>
        <v>0</v>
      </c>
      <c r="X223" s="46"/>
      <c r="Y223">
        <f>IF(E217&gt;0,VLOOKUP(Alkukysely!$E$4,Intensiteettinumero,6,1),VLOOKUP(Alkukysely!$E$4,Kevytnum,6,1))</f>
        <v>0</v>
      </c>
    </row>
    <row r="224" spans="1:25" x14ac:dyDescent="0.25">
      <c r="A224" s="126">
        <f t="shared" si="38"/>
        <v>44219</v>
      </c>
      <c r="B224" s="127">
        <f t="shared" si="36"/>
        <v>44219</v>
      </c>
      <c r="C224" s="131" t="str">
        <f>IF(Y224=4,T224,VLOOKUP(Y224,Intensiteettikoodi,2,1))</f>
        <v>5 minuutin maksimitesti</v>
      </c>
      <c r="D224" s="120"/>
      <c r="E224" s="144">
        <f>IF(E217&gt;0,ROUND(S224*X225,-1),VLOOKUP(Alkukysely!$E$4,Kevytkesto,7,1))</f>
        <v>60</v>
      </c>
      <c r="F224" s="212">
        <f ca="1">IF(Alkukysely!$E$4&gt;1,VLOOKUP('Viikko-ohjelma'!A219,Kovat23,24,1),VLOOKUP(A219,Kovat1,11,1))</f>
        <v>0</v>
      </c>
      <c r="G224" s="212"/>
      <c r="H224" s="213" t="e">
        <f t="shared" ca="1" si="37"/>
        <v>#DIV/0!</v>
      </c>
      <c r="I224" s="214"/>
      <c r="R224" s="119"/>
      <c r="S224" s="51">
        <f>VLOOKUP(Alkukysely!$E$4,Keskikesto,7,1)</f>
        <v>67.5</v>
      </c>
      <c r="T224" t="str">
        <f>IF(Alkukysely!$E$4&gt;1,VLOOKUP('Viikko-ohjelma'!A219,Kovat23,21,1),VLOOKUP(A219,Kovat1,8,1))</f>
        <v>5 minuutin maksimitesti</v>
      </c>
      <c r="Y224">
        <f>IF(E217&gt;0,VLOOKUP(Alkukysely!$E$4,Intensiteettinumero,7,1),VLOOKUP(Alkukysely!$E$4,Kevytnum,7,1))</f>
        <v>4</v>
      </c>
    </row>
    <row r="225" spans="1:25" ht="23.25" customHeight="1" x14ac:dyDescent="0.25">
      <c r="A225" s="126">
        <f t="shared" si="38"/>
        <v>44220</v>
      </c>
      <c r="B225" s="127">
        <f t="shared" si="36"/>
        <v>44220</v>
      </c>
      <c r="C225" s="131" t="str">
        <f>VLOOKUP(Y225,Intensiteettikoodi,2,1)</f>
        <v>Pitkä peruskestävyys</v>
      </c>
      <c r="D225" s="120"/>
      <c r="E225" s="144">
        <f>IF(E217&gt;0,ROUND(S225*X225,-1),VLOOKUP(Alkukysely!$E$4,Kevytkesto,8,1))</f>
        <v>120</v>
      </c>
      <c r="F225" s="139">
        <f ca="1">VLOOKUP(Y225,Intensiteettikoodi,3,1)*Harjoitusalueet!$C$5</f>
        <v>0</v>
      </c>
      <c r="G225" s="139">
        <f ca="1">VLOOKUP(Y225,Intensiteettikoodi,4,1)*Harjoitusalueet!$C$5</f>
        <v>0</v>
      </c>
      <c r="H225" s="140" t="e">
        <f t="shared" ca="1" si="37"/>
        <v>#DIV/0!</v>
      </c>
      <c r="I225" s="141" t="e">
        <f ca="1">TIME(0,0,((2.8/G225)^(1/3))*500)</f>
        <v>#DIV/0!</v>
      </c>
      <c r="R225" s="119"/>
      <c r="S225" s="51">
        <f>VLOOKUP(Alkukysely!$E$4,Keskikesto,8,1)</f>
        <v>120</v>
      </c>
      <c r="V225">
        <f>VLOOKUP(A219,Kausisuunnitelma,7,1)</f>
        <v>4.8000000000000007</v>
      </c>
      <c r="W225">
        <f>VLOOKUP(Alkukysely!$E$4,Keskikesto,10)</f>
        <v>5</v>
      </c>
      <c r="X225">
        <f>V225/W225</f>
        <v>0.96000000000000019</v>
      </c>
      <c r="Y225">
        <f>IF(E217&gt;0,VLOOKUP(Alkukysely!$E$4,Intensiteettinumero,8,1),VLOOKUP(Alkukysely!$E$4,Kevytnum,8,1))</f>
        <v>3</v>
      </c>
    </row>
    <row r="226" spans="1:25" ht="13.5" customHeight="1" x14ac:dyDescent="0.25">
      <c r="A226" s="193" t="s">
        <v>207</v>
      </c>
      <c r="B226" s="194"/>
      <c r="C226" s="194"/>
      <c r="D226" s="194"/>
      <c r="E226" s="194"/>
      <c r="F226" s="195"/>
      <c r="G226" s="196" t="s">
        <v>208</v>
      </c>
      <c r="H226" s="197"/>
      <c r="I226" s="198"/>
    </row>
    <row r="227" spans="1:25" ht="14.25" customHeight="1" x14ac:dyDescent="0.25">
      <c r="A227" s="180" t="str">
        <f>C221</f>
        <v>Peruskestävyys</v>
      </c>
      <c r="B227" s="181"/>
      <c r="C227" s="181"/>
      <c r="D227" s="181"/>
      <c r="E227" s="181"/>
      <c r="F227" s="202"/>
      <c r="G227" s="199"/>
      <c r="H227" s="200"/>
      <c r="I227" s="201"/>
    </row>
    <row r="228" spans="1:25" ht="23.25" customHeight="1" x14ac:dyDescent="0.25">
      <c r="A228" s="184" t="str">
        <f>IF(Alkukysely!$E$4&gt;1,VLOOKUP(A219,Kovat23,34,1),"-")</f>
        <v>-</v>
      </c>
      <c r="B228" s="184"/>
      <c r="C228" s="184"/>
      <c r="D228" s="184"/>
      <c r="E228" s="184"/>
      <c r="F228" s="203"/>
      <c r="G228" s="183" t="str">
        <f>IF(Alkukysely!$E$4&gt;1,VLOOKUP(A219,Kovat23,35,1),"-")</f>
        <v>-</v>
      </c>
      <c r="H228" s="184"/>
      <c r="I228" s="185"/>
    </row>
    <row r="229" spans="1:25" ht="20.25" customHeight="1" x14ac:dyDescent="0.25">
      <c r="A229" s="184"/>
      <c r="B229" s="184"/>
      <c r="C229" s="184"/>
      <c r="D229" s="184"/>
      <c r="E229" s="184"/>
      <c r="F229" s="203"/>
      <c r="G229" s="183"/>
      <c r="H229" s="184"/>
      <c r="I229" s="185"/>
    </row>
    <row r="230" spans="1:25" ht="44.25" customHeight="1" thickBot="1" x14ac:dyDescent="0.3">
      <c r="A230" s="204"/>
      <c r="B230" s="204"/>
      <c r="C230" s="204"/>
      <c r="D230" s="204"/>
      <c r="E230" s="204"/>
      <c r="F230" s="205"/>
      <c r="G230" s="206"/>
      <c r="H230" s="207"/>
      <c r="I230" s="208"/>
    </row>
    <row r="231" spans="1:25" ht="48.75" customHeight="1" thickTop="1" thickBot="1" x14ac:dyDescent="0.3">
      <c r="A231" s="180" t="str">
        <f>C224</f>
        <v>5 minuutin maksimitesti</v>
      </c>
      <c r="B231" s="181"/>
      <c r="C231" s="181"/>
      <c r="D231" s="181"/>
      <c r="E231" s="181"/>
      <c r="F231" s="182"/>
      <c r="G231" s="183">
        <f>IF(Alkukysely!$E$4&gt;1,VLOOKUP(A219,Kovat23,37,1),VLOOKUP(A219,Kovat1,35,1))</f>
        <v>0</v>
      </c>
      <c r="H231" s="184"/>
      <c r="I231" s="185"/>
    </row>
    <row r="232" spans="1:25" ht="33" customHeight="1" thickTop="1" thickBot="1" x14ac:dyDescent="0.3">
      <c r="A232" s="189" t="str">
        <f>IF(Alkukysely!$E$4&gt;1,VLOOKUP(A219,Kovat23,36,1),VLOOKUP(A219,Kovat1,34,1))</f>
        <v>Nyt puolestaan vuorossa uusi 5 minuutin testi. Edellisen testin perusteella sinulla tulisi olla käsitys siitä minkälaista tehoa/vauhtia kykenet ylläpitämään. Mikäli edellisen testin vauhdinjako onnistui hyvin, suosittelen lähtemään edellisen testin keskiteholla/-vauhdilla liikkeelle ja katsomaan testin aikana pystytkö nostamaan tehoa/vauhti. KIRJAA YLÖS TESTIN KESKITEHO JA SOUDETTU MATKA JA PÄIVITÄ ARVOT "KUNTOSEURANTA" välilehdelle riville 7.</v>
      </c>
      <c r="B232" s="190"/>
      <c r="C232" s="190"/>
      <c r="D232" s="190"/>
      <c r="E232" s="190"/>
      <c r="F232" s="190"/>
      <c r="G232" s="183"/>
      <c r="H232" s="184"/>
      <c r="I232" s="185"/>
    </row>
    <row r="233" spans="1:25" ht="34.5" customHeight="1" thickTop="1" thickBot="1" x14ac:dyDescent="0.3">
      <c r="A233" s="189"/>
      <c r="B233" s="190"/>
      <c r="C233" s="190"/>
      <c r="D233" s="190"/>
      <c r="E233" s="190"/>
      <c r="F233" s="190"/>
      <c r="G233" s="183"/>
      <c r="H233" s="184"/>
      <c r="I233" s="185"/>
    </row>
    <row r="234" spans="1:25" ht="63" customHeight="1" thickTop="1" thickBot="1" x14ac:dyDescent="0.3">
      <c r="A234" s="191"/>
      <c r="B234" s="192"/>
      <c r="C234" s="192"/>
      <c r="D234" s="192"/>
      <c r="E234" s="192"/>
      <c r="F234" s="192"/>
      <c r="G234" s="186"/>
      <c r="H234" s="187"/>
      <c r="I234" s="188"/>
    </row>
    <row r="235" spans="1:25" x14ac:dyDescent="0.25">
      <c r="A235" s="145" t="str">
        <f>VLOOKUP(A237,Kausisuunnitelma,5,1)</f>
        <v>Kova 2</v>
      </c>
      <c r="B235" s="147" t="s">
        <v>108</v>
      </c>
      <c r="C235" s="146" t="str">
        <f>VLOOKUP(A237,Kausisuunnitelma,3,1)</f>
        <v>MK lyhyt</v>
      </c>
      <c r="D235" s="124"/>
      <c r="E235" s="147">
        <f>VLOOKUP(A237,Kausisuunnitelma,6,1)</f>
        <v>2</v>
      </c>
      <c r="F235" s="209" t="s">
        <v>209</v>
      </c>
      <c r="G235" s="209"/>
      <c r="H235" s="210" t="s">
        <v>210</v>
      </c>
      <c r="I235" s="211"/>
      <c r="U235" s="118"/>
      <c r="V235" s="118"/>
    </row>
    <row r="236" spans="1:25" ht="48" thickBot="1" x14ac:dyDescent="0.3">
      <c r="A236" s="125" t="s">
        <v>107</v>
      </c>
      <c r="B236" s="128">
        <f>WEEKNUM(A237,21)</f>
        <v>4</v>
      </c>
      <c r="C236" s="130" t="s">
        <v>70</v>
      </c>
      <c r="D236" s="129" t="s">
        <v>71</v>
      </c>
      <c r="E236" s="142" t="s">
        <v>159</v>
      </c>
      <c r="F236" s="121" t="s">
        <v>12</v>
      </c>
      <c r="G236" s="121" t="s">
        <v>13</v>
      </c>
      <c r="H236" s="122" t="s">
        <v>12</v>
      </c>
      <c r="I236" s="123" t="s">
        <v>13</v>
      </c>
      <c r="J236" s="2"/>
      <c r="K236" s="2"/>
      <c r="L236" s="2"/>
      <c r="M236" s="2"/>
      <c r="N236" s="2"/>
      <c r="O236" s="2"/>
      <c r="P236" s="2"/>
      <c r="Q236" s="2"/>
      <c r="R236" s="2"/>
      <c r="S236" s="2"/>
      <c r="T236" s="2" t="s">
        <v>160</v>
      </c>
    </row>
    <row r="237" spans="1:25" x14ac:dyDescent="0.25">
      <c r="A237" s="132">
        <f>A225+1</f>
        <v>44221</v>
      </c>
      <c r="B237" s="133">
        <f t="shared" ref="B237:B243" si="39">A237</f>
        <v>44221</v>
      </c>
      <c r="C237" s="134" t="str">
        <f>VLOOKUP(Y237,Intensiteettikoodi,2,1)</f>
        <v>Lepo</v>
      </c>
      <c r="D237" s="135" t="str">
        <f>IF(Alkukysely!$F$4&gt;1, "Puntti","-")</f>
        <v>-</v>
      </c>
      <c r="E237" s="143">
        <f>IF(E235&gt;0,ROUND(S237*X243,-1),VLOOKUP(Alkukysely!$E$4,Kevytkesto,2,1))</f>
        <v>0</v>
      </c>
      <c r="F237" s="136">
        <f ca="1">VLOOKUP(Y237,Intensiteettikoodi,3,1)*Harjoitusalueet!$C$5</f>
        <v>0</v>
      </c>
      <c r="G237" s="136">
        <f ca="1">VLOOKUP(Y237,Intensiteettikoodi,4,1)*Harjoitusalueet!$C$5</f>
        <v>0</v>
      </c>
      <c r="H237" s="137" t="e">
        <f t="shared" ref="H237:H243" ca="1" si="40">TIME(0,0,((2.8/F237)^(1/3))*500)</f>
        <v>#DIV/0!</v>
      </c>
      <c r="I237" s="138" t="e">
        <f ca="1">TIME(0,0,((2.8/G237)^(1/3))*500)</f>
        <v>#DIV/0!</v>
      </c>
      <c r="R237" s="119"/>
      <c r="S237" s="51">
        <f>VLOOKUP(Alkukysely!$E$4,Keskikesto,2,1)</f>
        <v>0</v>
      </c>
      <c r="Y237">
        <f>IF(E235&gt;0,VLOOKUP(Alkukysely!$E$4,Intensiteettinumero,2,1),VLOOKUP(Alkukysely!$E$4,Kevytnum,2,1))</f>
        <v>0</v>
      </c>
    </row>
    <row r="238" spans="1:25" x14ac:dyDescent="0.25">
      <c r="A238" s="126">
        <f t="shared" ref="A238:A243" si="41">A237+1</f>
        <v>44222</v>
      </c>
      <c r="B238" s="127">
        <f t="shared" si="39"/>
        <v>44222</v>
      </c>
      <c r="C238" s="131" t="str">
        <f>VLOOKUP(Y238,Intensiteettikoodi,2,1)</f>
        <v>Peruskestävyys</v>
      </c>
      <c r="D238" s="120"/>
      <c r="E238" s="144">
        <f>IF(E235&gt;0,ROUND(S238*X243,-1),VLOOKUP(Alkukysely!$E$4,Kevytkesto,3,1))</f>
        <v>50</v>
      </c>
      <c r="F238" s="139">
        <f ca="1">VLOOKUP(Y238,Intensiteettikoodi,3,1)*Harjoitusalueet!$C$5</f>
        <v>0</v>
      </c>
      <c r="G238" s="139">
        <f ca="1">VLOOKUP(Y238,Intensiteettikoodi,4,1)*Harjoitusalueet!$C$5</f>
        <v>0</v>
      </c>
      <c r="H238" s="140" t="e">
        <f t="shared" ca="1" si="40"/>
        <v>#DIV/0!</v>
      </c>
      <c r="I238" s="141" t="e">
        <f ca="1">TIME(0,0,((2.8/G238)^(1/3))*500)</f>
        <v>#DIV/0!</v>
      </c>
      <c r="R238" s="119"/>
      <c r="S238" s="51">
        <f>VLOOKUP(Alkukysely!$E$4,Keskikesto,3,1)</f>
        <v>50</v>
      </c>
      <c r="Y238">
        <f>IF(E235&gt;0,VLOOKUP(Alkukysely!$E$4,Intensiteettinumero,3,1),VLOOKUP(Alkukysely!$E$4,Kevytnum,3,1))</f>
        <v>2</v>
      </c>
    </row>
    <row r="239" spans="1:25" x14ac:dyDescent="0.25">
      <c r="A239" s="126">
        <f t="shared" si="41"/>
        <v>44223</v>
      </c>
      <c r="B239" s="127">
        <f t="shared" si="39"/>
        <v>44223</v>
      </c>
      <c r="C239" s="131" t="str">
        <f>IF(Y239=4,T239,VLOOKUP(Y239,Intensiteettikoodi,2,1))</f>
        <v>Peruskestävyys</v>
      </c>
      <c r="D239" s="120"/>
      <c r="E239" s="144">
        <f>IF(E235&gt;0,ROUND(S239*X243,-1),VLOOKUP(Alkukysely!$E$4,Kevytkesto,4,1))</f>
        <v>60</v>
      </c>
      <c r="F239" s="212">
        <f ca="1">IF(Alkukysely!$E$4&gt;1,VLOOKUP('Viikko-ohjelma'!A237,Kovat23,11,1),VLOOKUP(Y239,Intensiteettikoodi,3,1)*Harjoitusalueet!$C$5)</f>
        <v>0</v>
      </c>
      <c r="G239" s="212"/>
      <c r="H239" s="213" t="e">
        <f t="shared" ca="1" si="40"/>
        <v>#DIV/0!</v>
      </c>
      <c r="I239" s="214"/>
      <c r="R239" s="119"/>
      <c r="S239" s="51">
        <f>VLOOKUP(Alkukysely!$E$4,Keskikesto,4,1)</f>
        <v>62.5</v>
      </c>
      <c r="T239" t="str">
        <f>IF(Alkukysely!$E$4&gt;1,VLOOKUP('Viikko-ohjelma'!A237,Kovat23,8,1),C239)</f>
        <v>Peruskestävyys</v>
      </c>
      <c r="Y239">
        <f>IF(E235&gt;0,VLOOKUP(Alkukysely!$E$4,Intensiteettinumero,4,1),VLOOKUP(Alkukysely!$E$4,Kevytnum,4,1))</f>
        <v>2</v>
      </c>
    </row>
    <row r="240" spans="1:25" x14ac:dyDescent="0.25">
      <c r="A240" s="126">
        <f t="shared" si="41"/>
        <v>44224</v>
      </c>
      <c r="B240" s="127">
        <f t="shared" si="39"/>
        <v>44224</v>
      </c>
      <c r="C240" s="131" t="str">
        <f>VLOOKUP(Y240,Intensiteettikoodi,2,1)</f>
        <v>Lepo</v>
      </c>
      <c r="D240" s="120" t="str">
        <f>IF(AND(Alkukysely!$F$4&gt;2,E235&gt;0), "Puntti","-")</f>
        <v>-</v>
      </c>
      <c r="E240" s="144">
        <f>IF(E235&gt;0,ROUND(S240*X243,-1),VLOOKUP(Alkukysely!$E$4,Kevytkesto,5,1))</f>
        <v>0</v>
      </c>
      <c r="F240" s="139">
        <f ca="1">VLOOKUP(Y240,Intensiteettikoodi,3,1)*Harjoitusalueet!$C$5</f>
        <v>0</v>
      </c>
      <c r="G240" s="139">
        <f ca="1">VLOOKUP(Y240,Intensiteettikoodi,4,1)*Harjoitusalueet!$C$5</f>
        <v>0</v>
      </c>
      <c r="H240" s="140" t="e">
        <f t="shared" ca="1" si="40"/>
        <v>#DIV/0!</v>
      </c>
      <c r="I240" s="141" t="e">
        <f ca="1">TIME(0,0,((2.8/G240)^(1/3))*500)</f>
        <v>#DIV/0!</v>
      </c>
      <c r="R240" s="119"/>
      <c r="S240" s="51">
        <f>VLOOKUP(Alkukysely!$E$4,Keskikesto,5,1)</f>
        <v>0</v>
      </c>
      <c r="X240" s="46"/>
      <c r="Y240">
        <f>IF(E235&gt;0,VLOOKUP(Alkukysely!$E$4,Intensiteettinumero,5,1),VLOOKUP(Alkukysely!$E$4,Kevytnum,5,1))</f>
        <v>0</v>
      </c>
    </row>
    <row r="241" spans="1:25" x14ac:dyDescent="0.25">
      <c r="A241" s="126">
        <f t="shared" si="41"/>
        <v>44225</v>
      </c>
      <c r="B241" s="127">
        <f t="shared" si="39"/>
        <v>44225</v>
      </c>
      <c r="C241" s="131" t="str">
        <f>VLOOKUP(Y241,Intensiteettikoodi,2,1)</f>
        <v>Lepo</v>
      </c>
      <c r="D241" s="120"/>
      <c r="E241" s="144">
        <f>IF(E235&gt;0,ROUND(S241*X243,-1),VLOOKUP(Alkukysely!$E$4,Kevytkesto,6,1))</f>
        <v>0</v>
      </c>
      <c r="F241" s="139">
        <f ca="1">VLOOKUP(Y241,Intensiteettikoodi,3,1)*Harjoitusalueet!$C$5</f>
        <v>0</v>
      </c>
      <c r="G241" s="139">
        <f ca="1">VLOOKUP(Y241,Intensiteettikoodi,4,1)*Harjoitusalueet!$C$5</f>
        <v>0</v>
      </c>
      <c r="H241" s="140" t="e">
        <f t="shared" ca="1" si="40"/>
        <v>#DIV/0!</v>
      </c>
      <c r="I241" s="141" t="e">
        <f ca="1">TIME(0,0,((2.8/G241)^(1/3))*500)</f>
        <v>#DIV/0!</v>
      </c>
      <c r="R241" s="119"/>
      <c r="S241" s="51">
        <f>VLOOKUP(Alkukysely!$E$4,Keskikesto,6,1)</f>
        <v>0</v>
      </c>
      <c r="X241" s="46"/>
      <c r="Y241">
        <f>IF(E235&gt;0,VLOOKUP(Alkukysely!$E$4,Intensiteettinumero,6,1),VLOOKUP(Alkukysely!$E$4,Kevytnum,6,1))</f>
        <v>0</v>
      </c>
    </row>
    <row r="242" spans="1:25" x14ac:dyDescent="0.25">
      <c r="A242" s="126">
        <f t="shared" si="41"/>
        <v>44226</v>
      </c>
      <c r="B242" s="127">
        <f t="shared" si="39"/>
        <v>44226</v>
      </c>
      <c r="C242" s="131" t="str">
        <f>IF(Y242=4,T242,VLOOKUP(Y242,Intensiteettikoodi,2,1))</f>
        <v>3*(10*40sek/20sek*/3-5min</v>
      </c>
      <c r="D242" s="120"/>
      <c r="E242" s="144">
        <f>IF(E235&gt;0,ROUND(S242*X243,-1),VLOOKUP(Alkukysely!$E$4,Kevytkesto,7,1))</f>
        <v>60</v>
      </c>
      <c r="F242" s="212" t="e">
        <f ca="1">IF(Alkukysely!$E$4&gt;1,VLOOKUP('Viikko-ohjelma'!A237,Kovat23,24,1),VLOOKUP(A237,Kovat1,11,1))</f>
        <v>#DIV/0!</v>
      </c>
      <c r="G242" s="212"/>
      <c r="H242" s="213" t="e">
        <f t="shared" ca="1" si="40"/>
        <v>#DIV/0!</v>
      </c>
      <c r="I242" s="214"/>
      <c r="R242" s="119"/>
      <c r="S242" s="51">
        <f>VLOOKUP(Alkukysely!$E$4,Keskikesto,7,1)</f>
        <v>67.5</v>
      </c>
      <c r="T242" t="str">
        <f>IF(Alkukysely!$E$4&gt;1,VLOOKUP('Viikko-ohjelma'!A237,Kovat23,21,1),VLOOKUP(A237,Kovat1,8,1))</f>
        <v>3*(10*40sek/20sek*/3-5min</v>
      </c>
      <c r="Y242">
        <f>IF(E235&gt;0,VLOOKUP(Alkukysely!$E$4,Intensiteettinumero,7,1),VLOOKUP(Alkukysely!$E$4,Kevytnum,7,1))</f>
        <v>4</v>
      </c>
    </row>
    <row r="243" spans="1:25" x14ac:dyDescent="0.25">
      <c r="A243" s="126">
        <f t="shared" si="41"/>
        <v>44227</v>
      </c>
      <c r="B243" s="127">
        <f t="shared" si="39"/>
        <v>44227</v>
      </c>
      <c r="C243" s="131" t="str">
        <f>VLOOKUP(Y243,Intensiteettikoodi,2,1)</f>
        <v>Pitkä peruskestävyys</v>
      </c>
      <c r="D243" s="120"/>
      <c r="E243" s="144">
        <f>IF(E235&gt;0,ROUND(S243*X243,-1),VLOOKUP(Alkukysely!$E$4,Kevytkesto,8,1))</f>
        <v>120</v>
      </c>
      <c r="F243" s="139">
        <f ca="1">VLOOKUP(Y243,Intensiteettikoodi,3,1)*Harjoitusalueet!$C$5</f>
        <v>0</v>
      </c>
      <c r="G243" s="139">
        <f ca="1">VLOOKUP(Y243,Intensiteettikoodi,4,1)*Harjoitusalueet!$C$5</f>
        <v>0</v>
      </c>
      <c r="H243" s="140" t="e">
        <f t="shared" ca="1" si="40"/>
        <v>#DIV/0!</v>
      </c>
      <c r="I243" s="141" t="e">
        <f ca="1">TIME(0,0,((2.8/G243)^(1/3))*500)</f>
        <v>#DIV/0!</v>
      </c>
      <c r="R243" s="119"/>
      <c r="S243" s="51">
        <f>VLOOKUP(Alkukysely!$E$4,Keskikesto,8,1)</f>
        <v>120</v>
      </c>
      <c r="V243">
        <f>VLOOKUP(A237,Kausisuunnitelma,7,1)</f>
        <v>4.8000000000000007</v>
      </c>
      <c r="W243">
        <f>VLOOKUP(Alkukysely!$E$4,Keskikesto,10)</f>
        <v>5</v>
      </c>
      <c r="X243">
        <f>V243/W243</f>
        <v>0.96000000000000019</v>
      </c>
      <c r="Y243">
        <f>IF(E235&gt;0,VLOOKUP(Alkukysely!$E$4,Intensiteettinumero,8,1),VLOOKUP(Alkukysely!$E$4,Kevytnum,8,1))</f>
        <v>3</v>
      </c>
    </row>
    <row r="244" spans="1:25" x14ac:dyDescent="0.25">
      <c r="A244" s="193" t="s">
        <v>207</v>
      </c>
      <c r="B244" s="194"/>
      <c r="C244" s="194"/>
      <c r="D244" s="194"/>
      <c r="E244" s="194"/>
      <c r="F244" s="195"/>
      <c r="G244" s="196" t="s">
        <v>208</v>
      </c>
      <c r="H244" s="197"/>
      <c r="I244" s="198"/>
    </row>
    <row r="245" spans="1:25" x14ac:dyDescent="0.25">
      <c r="A245" s="180" t="str">
        <f>C239</f>
        <v>Peruskestävyys</v>
      </c>
      <c r="B245" s="181"/>
      <c r="C245" s="181"/>
      <c r="D245" s="181"/>
      <c r="E245" s="181"/>
      <c r="F245" s="202"/>
      <c r="G245" s="199"/>
      <c r="H245" s="200"/>
      <c r="I245" s="201"/>
    </row>
    <row r="246" spans="1:25" x14ac:dyDescent="0.25">
      <c r="A246" s="184" t="str">
        <f>IF(Alkukysely!$E$4&gt;1,VLOOKUP(A237,Kovat23,34,1),"-")</f>
        <v>-</v>
      </c>
      <c r="B246" s="184"/>
      <c r="C246" s="184"/>
      <c r="D246" s="184"/>
      <c r="E246" s="184"/>
      <c r="F246" s="203"/>
      <c r="G246" s="183" t="str">
        <f>IF(Alkukysely!$E$4&gt;1,VLOOKUP(A237,Kovat23,35,1),"-")</f>
        <v>-</v>
      </c>
      <c r="H246" s="184"/>
      <c r="I246" s="185"/>
    </row>
    <row r="247" spans="1:25" x14ac:dyDescent="0.25">
      <c r="A247" s="184"/>
      <c r="B247" s="184"/>
      <c r="C247" s="184"/>
      <c r="D247" s="184"/>
      <c r="E247" s="184"/>
      <c r="F247" s="203"/>
      <c r="G247" s="183"/>
      <c r="H247" s="184"/>
      <c r="I247" s="185"/>
    </row>
    <row r="248" spans="1:25" ht="73.5" customHeight="1" thickBot="1" x14ac:dyDescent="0.3">
      <c r="A248" s="204"/>
      <c r="B248" s="204"/>
      <c r="C248" s="204"/>
      <c r="D248" s="204"/>
      <c r="E248" s="204"/>
      <c r="F248" s="205"/>
      <c r="G248" s="206"/>
      <c r="H248" s="207"/>
      <c r="I248" s="208"/>
    </row>
    <row r="249" spans="1:25" ht="17.25" thickTop="1" thickBot="1" x14ac:dyDescent="0.3">
      <c r="A249" s="180" t="str">
        <f>C242</f>
        <v>3*(10*40sek/20sek*/3-5min</v>
      </c>
      <c r="B249" s="181"/>
      <c r="C249" s="181"/>
      <c r="D249" s="181"/>
      <c r="E249" s="181"/>
      <c r="F249" s="182"/>
      <c r="G249" s="183" t="str">
        <f>IF(Alkukysely!$E$4&gt;1,VLOOKUP(A237,Kovat23,37,1),VLOOKUP(A237,Kovat1,35,1))</f>
        <v>20min alkulämmittely + 15min loppujäähdyttely</v>
      </c>
      <c r="H249" s="184"/>
      <c r="I249" s="185"/>
    </row>
    <row r="250" spans="1:25" ht="17.25" thickTop="1" thickBot="1" x14ac:dyDescent="0.3">
      <c r="A250" s="189" t="str">
        <f>IF(Alkukysely!$E$4&gt;1,VLOOKUP(A237,Kovat23,36,1),VLOOKUP(A237,Kovat1,34,1))</f>
        <v>Kovien osuuksien vauhdit on tarkoitus tähdätä 2000m tavoitevauhdin tuntumaan. Pyri tasaiseen tai aavistuksen nousujohteiseen vauhdinjakoon.</v>
      </c>
      <c r="B250" s="190"/>
      <c r="C250" s="190"/>
      <c r="D250" s="190"/>
      <c r="E250" s="190"/>
      <c r="F250" s="190"/>
      <c r="G250" s="183"/>
      <c r="H250" s="184"/>
      <c r="I250" s="185"/>
    </row>
    <row r="251" spans="1:25" ht="17.25" thickTop="1" thickBot="1" x14ac:dyDescent="0.3">
      <c r="A251" s="189"/>
      <c r="B251" s="190"/>
      <c r="C251" s="190"/>
      <c r="D251" s="190"/>
      <c r="E251" s="190"/>
      <c r="F251" s="190"/>
      <c r="G251" s="183"/>
      <c r="H251" s="184"/>
      <c r="I251" s="185"/>
    </row>
    <row r="252" spans="1:25" ht="72" customHeight="1" thickTop="1" thickBot="1" x14ac:dyDescent="0.3">
      <c r="A252" s="191"/>
      <c r="B252" s="192"/>
      <c r="C252" s="192"/>
      <c r="D252" s="192"/>
      <c r="E252" s="192"/>
      <c r="F252" s="192"/>
      <c r="G252" s="186"/>
      <c r="H252" s="187"/>
      <c r="I252" s="188"/>
    </row>
    <row r="253" spans="1:25" x14ac:dyDescent="0.25">
      <c r="A253" s="145" t="str">
        <f>VLOOKUP(A255,Kausisuunnitelma,5,1)</f>
        <v>Kova 1</v>
      </c>
      <c r="B253" s="147" t="s">
        <v>108</v>
      </c>
      <c r="C253" s="146" t="str">
        <f>VLOOKUP(A255,Kausisuunnitelma,3,1)</f>
        <v>MK lyhyt</v>
      </c>
      <c r="D253" s="124"/>
      <c r="E253" s="147">
        <f>VLOOKUP(A255,Kausisuunnitelma,6,1)</f>
        <v>1</v>
      </c>
      <c r="F253" s="209" t="s">
        <v>209</v>
      </c>
      <c r="G253" s="209"/>
      <c r="H253" s="210" t="s">
        <v>210</v>
      </c>
      <c r="I253" s="211"/>
      <c r="U253" s="118"/>
      <c r="V253" s="118"/>
    </row>
    <row r="254" spans="1:25" ht="48" thickBot="1" x14ac:dyDescent="0.3">
      <c r="A254" s="125" t="s">
        <v>107</v>
      </c>
      <c r="B254" s="128">
        <f>WEEKNUM(A255,21)</f>
        <v>5</v>
      </c>
      <c r="C254" s="130" t="s">
        <v>70</v>
      </c>
      <c r="D254" s="129" t="s">
        <v>71</v>
      </c>
      <c r="E254" s="142" t="s">
        <v>159</v>
      </c>
      <c r="F254" s="121" t="s">
        <v>12</v>
      </c>
      <c r="G254" s="121" t="s">
        <v>13</v>
      </c>
      <c r="H254" s="122" t="s">
        <v>12</v>
      </c>
      <c r="I254" s="123" t="s">
        <v>13</v>
      </c>
      <c r="J254" s="2"/>
      <c r="K254" s="2"/>
      <c r="L254" s="2"/>
      <c r="M254" s="2"/>
      <c r="N254" s="2"/>
      <c r="O254" s="2"/>
      <c r="P254" s="2"/>
      <c r="Q254" s="2"/>
      <c r="R254" s="2"/>
      <c r="S254" s="2"/>
      <c r="T254" s="2" t="s">
        <v>160</v>
      </c>
    </row>
    <row r="255" spans="1:25" x14ac:dyDescent="0.25">
      <c r="A255" s="132">
        <f>A243+1</f>
        <v>44228</v>
      </c>
      <c r="B255" s="133">
        <f t="shared" ref="B255:B261" si="42">A255</f>
        <v>44228</v>
      </c>
      <c r="C255" s="134" t="str">
        <f>VLOOKUP(Y255,Intensiteettikoodi,2,1)</f>
        <v>Lepo</v>
      </c>
      <c r="D255" s="135" t="str">
        <f>IF(Alkukysely!$F$4&gt;1, "Puntti","-")</f>
        <v>-</v>
      </c>
      <c r="E255" s="143">
        <f>IF(E253&gt;0,ROUND(S255*X261,-1),VLOOKUP(Alkukysely!$E$4,Kevytkesto,2,1))</f>
        <v>0</v>
      </c>
      <c r="F255" s="136">
        <f ca="1">VLOOKUP(Y255,Intensiteettikoodi,3,1)*Harjoitusalueet!$C$5</f>
        <v>0</v>
      </c>
      <c r="G255" s="136">
        <f ca="1">VLOOKUP(Y255,Intensiteettikoodi,4,1)*Harjoitusalueet!$C$5</f>
        <v>0</v>
      </c>
      <c r="H255" s="137" t="e">
        <f t="shared" ref="H255:H261" ca="1" si="43">TIME(0,0,((2.8/F255)^(1/3))*500)</f>
        <v>#DIV/0!</v>
      </c>
      <c r="I255" s="138" t="e">
        <f ca="1">TIME(0,0,((2.8/G255)^(1/3))*500)</f>
        <v>#DIV/0!</v>
      </c>
      <c r="R255" s="119"/>
      <c r="S255" s="51">
        <f>VLOOKUP(Alkukysely!$E$4,Keskikesto,2,1)</f>
        <v>0</v>
      </c>
      <c r="Y255">
        <f>IF(E253&gt;0,VLOOKUP(Alkukysely!$E$4,Intensiteettinumero,2,1),VLOOKUP(Alkukysely!$E$4,Kevytnum,2,1))</f>
        <v>0</v>
      </c>
    </row>
    <row r="256" spans="1:25" x14ac:dyDescent="0.25">
      <c r="A256" s="126">
        <f t="shared" ref="A256:A261" si="44">A255+1</f>
        <v>44229</v>
      </c>
      <c r="B256" s="127">
        <f t="shared" si="42"/>
        <v>44229</v>
      </c>
      <c r="C256" s="131" t="str">
        <f>VLOOKUP(Y256,Intensiteettikoodi,2,1)</f>
        <v>Peruskestävyys</v>
      </c>
      <c r="D256" s="120"/>
      <c r="E256" s="144">
        <f>IF(E253&gt;0,ROUND(S256*X261,-1),VLOOKUP(Alkukysely!$E$4,Kevytkesto,3,1))</f>
        <v>30</v>
      </c>
      <c r="F256" s="139">
        <f ca="1">VLOOKUP(Y256,Intensiteettikoodi,3,1)*Harjoitusalueet!$C$5</f>
        <v>0</v>
      </c>
      <c r="G256" s="139">
        <f ca="1">VLOOKUP(Y256,Intensiteettikoodi,4,1)*Harjoitusalueet!$C$5</f>
        <v>0</v>
      </c>
      <c r="H256" s="140" t="e">
        <f t="shared" ca="1" si="43"/>
        <v>#DIV/0!</v>
      </c>
      <c r="I256" s="141" t="e">
        <f ca="1">TIME(0,0,((2.8/G256)^(1/3))*500)</f>
        <v>#DIV/0!</v>
      </c>
      <c r="R256" s="119"/>
      <c r="S256" s="51">
        <f>VLOOKUP(Alkukysely!$E$4,Keskikesto,3,1)</f>
        <v>50</v>
      </c>
      <c r="Y256">
        <f>IF(E253&gt;0,VLOOKUP(Alkukysely!$E$4,Intensiteettinumero,3,1),VLOOKUP(Alkukysely!$E$4,Kevytnum,3,1))</f>
        <v>2</v>
      </c>
    </row>
    <row r="257" spans="1:25" x14ac:dyDescent="0.25">
      <c r="A257" s="126">
        <f t="shared" si="44"/>
        <v>44230</v>
      </c>
      <c r="B257" s="127">
        <f t="shared" si="42"/>
        <v>44230</v>
      </c>
      <c r="C257" s="131" t="str">
        <f>IF(Y257=4,T257,VLOOKUP(Y257,Intensiteettikoodi,2,1))</f>
        <v>Peruskestävyys</v>
      </c>
      <c r="D257" s="120"/>
      <c r="E257" s="144">
        <f>IF(E253&gt;0,ROUND(S257*X261,-1),VLOOKUP(Alkukysely!$E$4,Kevytkesto,4,1))</f>
        <v>40</v>
      </c>
      <c r="F257" s="212">
        <f ca="1">IF(Alkukysely!$E$4&gt;1,VLOOKUP('Viikko-ohjelma'!A255,Kovat23,11,1),VLOOKUP(Y257,Intensiteettikoodi,3,1)*Harjoitusalueet!$C$5)</f>
        <v>0</v>
      </c>
      <c r="G257" s="212"/>
      <c r="H257" s="213" t="e">
        <f t="shared" ca="1" si="43"/>
        <v>#DIV/0!</v>
      </c>
      <c r="I257" s="214"/>
      <c r="R257" s="119"/>
      <c r="S257" s="51">
        <f>VLOOKUP(Alkukysely!$E$4,Keskikesto,4,1)</f>
        <v>62.5</v>
      </c>
      <c r="T257" t="str">
        <f>IF(Alkukysely!$E$4&gt;1,VLOOKUP('Viikko-ohjelma'!A255,Kovat23,8,1),C257)</f>
        <v>Peruskestävyys</v>
      </c>
      <c r="Y257">
        <f>IF(E253&gt;0,VLOOKUP(Alkukysely!$E$4,Intensiteettinumero,4,1),VLOOKUP(Alkukysely!$E$4,Kevytnum,4,1))</f>
        <v>2</v>
      </c>
    </row>
    <row r="258" spans="1:25" x14ac:dyDescent="0.25">
      <c r="A258" s="126">
        <f t="shared" si="44"/>
        <v>44231</v>
      </c>
      <c r="B258" s="127">
        <f t="shared" si="42"/>
        <v>44231</v>
      </c>
      <c r="C258" s="131" t="str">
        <f>VLOOKUP(Y258,Intensiteettikoodi,2,1)</f>
        <v>Lepo</v>
      </c>
      <c r="D258" s="120" t="str">
        <f>IF(AND(Alkukysely!$F$4&gt;2,E253&gt;0), "Puntti","-")</f>
        <v>-</v>
      </c>
      <c r="E258" s="144">
        <f>IF(E253&gt;0,ROUND(S258*X261,-1),VLOOKUP(Alkukysely!$E$4,Kevytkesto,5,1))</f>
        <v>0</v>
      </c>
      <c r="F258" s="139">
        <f ca="1">VLOOKUP(Y258,Intensiteettikoodi,3,1)*Harjoitusalueet!$C$5</f>
        <v>0</v>
      </c>
      <c r="G258" s="139">
        <f ca="1">VLOOKUP(Y258,Intensiteettikoodi,4,1)*Harjoitusalueet!$C$5</f>
        <v>0</v>
      </c>
      <c r="H258" s="140" t="e">
        <f t="shared" ca="1" si="43"/>
        <v>#DIV/0!</v>
      </c>
      <c r="I258" s="141" t="e">
        <f ca="1">TIME(0,0,((2.8/G258)^(1/3))*500)</f>
        <v>#DIV/0!</v>
      </c>
      <c r="R258" s="119"/>
      <c r="S258" s="51">
        <f>VLOOKUP(Alkukysely!$E$4,Keskikesto,5,1)</f>
        <v>0</v>
      </c>
      <c r="X258" s="46"/>
      <c r="Y258">
        <f>IF(E253&gt;0,VLOOKUP(Alkukysely!$E$4,Intensiteettinumero,5,1),VLOOKUP(Alkukysely!$E$4,Kevytnum,5,1))</f>
        <v>0</v>
      </c>
    </row>
    <row r="259" spans="1:25" x14ac:dyDescent="0.25">
      <c r="A259" s="126">
        <f t="shared" si="44"/>
        <v>44232</v>
      </c>
      <c r="B259" s="127">
        <f t="shared" si="42"/>
        <v>44232</v>
      </c>
      <c r="C259" s="131" t="str">
        <f>VLOOKUP(Y259,Intensiteettikoodi,2,1)</f>
        <v>Lepo</v>
      </c>
      <c r="D259" s="120"/>
      <c r="E259" s="144">
        <f>IF(E253&gt;0,ROUND(S259*X261,-1),VLOOKUP(Alkukysely!$E$4,Kevytkesto,6,1))</f>
        <v>0</v>
      </c>
      <c r="F259" s="139">
        <f ca="1">VLOOKUP(Y259,Intensiteettikoodi,3,1)*Harjoitusalueet!$C$5</f>
        <v>0</v>
      </c>
      <c r="G259" s="139">
        <f ca="1">VLOOKUP(Y259,Intensiteettikoodi,4,1)*Harjoitusalueet!$C$5</f>
        <v>0</v>
      </c>
      <c r="H259" s="140" t="e">
        <f t="shared" ca="1" si="43"/>
        <v>#DIV/0!</v>
      </c>
      <c r="I259" s="141" t="e">
        <f ca="1">TIME(0,0,((2.8/G259)^(1/3))*500)</f>
        <v>#DIV/0!</v>
      </c>
      <c r="R259" s="119"/>
      <c r="S259" s="51">
        <f>VLOOKUP(Alkukysely!$E$4,Keskikesto,6,1)</f>
        <v>0</v>
      </c>
      <c r="X259" s="46"/>
      <c r="Y259">
        <f>IF(E253&gt;0,VLOOKUP(Alkukysely!$E$4,Intensiteettinumero,6,1),VLOOKUP(Alkukysely!$E$4,Kevytnum,6,1))</f>
        <v>0</v>
      </c>
    </row>
    <row r="260" spans="1:25" x14ac:dyDescent="0.25">
      <c r="A260" s="126">
        <f t="shared" si="44"/>
        <v>44233</v>
      </c>
      <c r="B260" s="127">
        <f t="shared" si="42"/>
        <v>44233</v>
      </c>
      <c r="C260" s="131" t="str">
        <f>IF(Y260=4,T260,VLOOKUP(Y260,Intensiteettikoodi,2,1))</f>
        <v>2000m</v>
      </c>
      <c r="D260" s="120"/>
      <c r="E260" s="144">
        <f>IF(E253&gt;0,ROUND(S260*X261,-1),VLOOKUP(Alkukysely!$E$4,Kevytkesto,7,1))</f>
        <v>40</v>
      </c>
      <c r="F260" s="212" t="e">
        <f ca="1">IF(Alkukysely!$E$4&gt;1,VLOOKUP('Viikko-ohjelma'!A255,Kovat23,24,1),VLOOKUP(A255,Kovat1,11,1))</f>
        <v>#DIV/0!</v>
      </c>
      <c r="G260" s="212"/>
      <c r="H260" s="213" t="e">
        <f t="shared" ca="1" si="43"/>
        <v>#DIV/0!</v>
      </c>
      <c r="I260" s="214"/>
      <c r="R260" s="119"/>
      <c r="S260" s="51">
        <f>VLOOKUP(Alkukysely!$E$4,Keskikesto,7,1)</f>
        <v>67.5</v>
      </c>
      <c r="T260" t="str">
        <f>IF(Alkukysely!$E$4&gt;1,VLOOKUP('Viikko-ohjelma'!A255,Kovat23,21,1),VLOOKUP(A255,Kovat1,8,1))</f>
        <v>2000m</v>
      </c>
      <c r="Y260">
        <f>IF(E253&gt;0,VLOOKUP(Alkukysely!$E$4,Intensiteettinumero,7,1),VLOOKUP(Alkukysely!$E$4,Kevytnum,7,1))</f>
        <v>4</v>
      </c>
    </row>
    <row r="261" spans="1:25" x14ac:dyDescent="0.25">
      <c r="A261" s="126">
        <f t="shared" si="44"/>
        <v>44234</v>
      </c>
      <c r="B261" s="127">
        <f t="shared" si="42"/>
        <v>44234</v>
      </c>
      <c r="C261" s="131" t="str">
        <f>VLOOKUP(Y261,Intensiteettikoodi,2,1)</f>
        <v>Pitkä peruskestävyys</v>
      </c>
      <c r="D261" s="120"/>
      <c r="E261" s="144">
        <f>IF(E253&gt;0,ROUND(S261*X261,-1),VLOOKUP(Alkukysely!$E$4,Kevytkesto,8,1))</f>
        <v>70</v>
      </c>
      <c r="F261" s="139">
        <f ca="1">VLOOKUP(Y261,Intensiteettikoodi,3,1)*Harjoitusalueet!$C$5</f>
        <v>0</v>
      </c>
      <c r="G261" s="139">
        <f ca="1">VLOOKUP(Y261,Intensiteettikoodi,4,1)*Harjoitusalueet!$C$5</f>
        <v>0</v>
      </c>
      <c r="H261" s="140" t="e">
        <f t="shared" ca="1" si="43"/>
        <v>#DIV/0!</v>
      </c>
      <c r="I261" s="141" t="e">
        <f ca="1">TIME(0,0,((2.8/G261)^(1/3))*500)</f>
        <v>#DIV/0!</v>
      </c>
      <c r="R261" s="119"/>
      <c r="S261" s="51">
        <f>VLOOKUP(Alkukysely!$E$4,Keskikesto,8,1)</f>
        <v>120</v>
      </c>
      <c r="V261">
        <f>VLOOKUP(A255,Kausisuunnitelma,7,1)</f>
        <v>3</v>
      </c>
      <c r="W261">
        <f>VLOOKUP(Alkukysely!$E$4,Keskikesto,10)</f>
        <v>5</v>
      </c>
      <c r="X261">
        <f>V261/W261</f>
        <v>0.6</v>
      </c>
      <c r="Y261">
        <f>IF(E253&gt;0,VLOOKUP(Alkukysely!$E$4,Intensiteettinumero,8,1),VLOOKUP(Alkukysely!$E$4,Kevytnum,8,1))</f>
        <v>3</v>
      </c>
    </row>
    <row r="262" spans="1:25" x14ac:dyDescent="0.25">
      <c r="A262" s="193" t="s">
        <v>207</v>
      </c>
      <c r="B262" s="194"/>
      <c r="C262" s="194"/>
      <c r="D262" s="194"/>
      <c r="E262" s="194"/>
      <c r="F262" s="195"/>
      <c r="G262" s="196" t="s">
        <v>208</v>
      </c>
      <c r="H262" s="197"/>
      <c r="I262" s="198"/>
    </row>
    <row r="263" spans="1:25" x14ac:dyDescent="0.25">
      <c r="A263" s="180" t="str">
        <f>C257</f>
        <v>Peruskestävyys</v>
      </c>
      <c r="B263" s="181"/>
      <c r="C263" s="181"/>
      <c r="D263" s="181"/>
      <c r="E263" s="181"/>
      <c r="F263" s="202"/>
      <c r="G263" s="199"/>
      <c r="H263" s="200"/>
      <c r="I263" s="201"/>
    </row>
    <row r="264" spans="1:25" x14ac:dyDescent="0.25">
      <c r="A264" s="184" t="str">
        <f>IF(Alkukysely!$E$4&gt;1,VLOOKUP(A255,Kovat23,34,1),"-")</f>
        <v>-</v>
      </c>
      <c r="B264" s="184"/>
      <c r="C264" s="184"/>
      <c r="D264" s="184"/>
      <c r="E264" s="184"/>
      <c r="F264" s="203"/>
      <c r="G264" s="183" t="str">
        <f>IF(Alkukysely!$E$4&gt;1,VLOOKUP(A255,Kovat23,35,1),"-")</f>
        <v>-</v>
      </c>
      <c r="H264" s="184"/>
      <c r="I264" s="185"/>
    </row>
    <row r="265" spans="1:25" x14ac:dyDescent="0.25">
      <c r="A265" s="184"/>
      <c r="B265" s="184"/>
      <c r="C265" s="184"/>
      <c r="D265" s="184"/>
      <c r="E265" s="184"/>
      <c r="F265" s="203"/>
      <c r="G265" s="183"/>
      <c r="H265" s="184"/>
      <c r="I265" s="185"/>
    </row>
    <row r="266" spans="1:25" ht="78" customHeight="1" thickBot="1" x14ac:dyDescent="0.3">
      <c r="A266" s="204"/>
      <c r="B266" s="204"/>
      <c r="C266" s="204"/>
      <c r="D266" s="204"/>
      <c r="E266" s="204"/>
      <c r="F266" s="205"/>
      <c r="G266" s="206"/>
      <c r="H266" s="207"/>
      <c r="I266" s="208"/>
    </row>
    <row r="267" spans="1:25" ht="17.25" thickTop="1" thickBot="1" x14ac:dyDescent="0.3">
      <c r="A267" s="180" t="s">
        <v>211</v>
      </c>
      <c r="B267" s="181"/>
      <c r="C267" s="181"/>
      <c r="D267" s="181"/>
      <c r="E267" s="181"/>
      <c r="F267" s="182"/>
      <c r="G267" s="183">
        <f>IF(Alkukysely!$E$4&gt;1,VLOOKUP(A255,Kovat23,37,1),VLOOKUP(A255,Kovat1,35,1))</f>
        <v>0</v>
      </c>
      <c r="H267" s="184"/>
      <c r="I267" s="185"/>
    </row>
    <row r="268" spans="1:25" ht="29.25" customHeight="1" thickTop="1" thickBot="1" x14ac:dyDescent="0.3">
      <c r="A268" s="189" t="str">
        <f>IF(Alkukysely!$E$4&gt;1,VLOOKUP(A255,Kovat23,36,1),VLOOKUP(A255,Kovat1,34,1))</f>
        <v>Ohjelmassa 2000m kisa (MM/FIRC)/testi. Tulosta käytetään kuntotasosi seurantaan sekä harjoitusalueittesi päivittämiseen, joten kirjaa testin tulos ylös. Tavoiteteho/vauhti on laskettu 5 minuutin ja 20 minuutin testiesi tulosten perusteella. Voit käyttää tätä lähtökohtana kisaan, mutta pidä kuitenkin mielessäsi, että ennustekäyrä ei ole 100% tarkka. Päivän kuntosi vaihtelee ja viimeisestä testistäkin on vierähtänyt hetki. Kahden viime viikon kovien harjoitusten keskiteho antaa myös hyvän kuvan suorituskykyisyydestäsi 2000m matkalla. KIRJAA YLÖS TESTIN KESKITEHO JA 10KM KULUNUT KOKONAISAIKA JA PÄIVITÄ ARVOT "KUNTOSEURANTA" välilehdelle riville 8.</v>
      </c>
      <c r="B268" s="190"/>
      <c r="C268" s="190"/>
      <c r="D268" s="190"/>
      <c r="E268" s="190"/>
      <c r="F268" s="190"/>
      <c r="G268" s="183"/>
      <c r="H268" s="184"/>
      <c r="I268" s="185"/>
    </row>
    <row r="269" spans="1:25" ht="17.25" thickTop="1" thickBot="1" x14ac:dyDescent="0.3">
      <c r="A269" s="189"/>
      <c r="B269" s="190"/>
      <c r="C269" s="190"/>
      <c r="D269" s="190"/>
      <c r="E269" s="190"/>
      <c r="F269" s="190"/>
      <c r="G269" s="183"/>
      <c r="H269" s="184"/>
      <c r="I269" s="185"/>
    </row>
    <row r="270" spans="1:25" ht="40.5" customHeight="1" thickTop="1" thickBot="1" x14ac:dyDescent="0.3">
      <c r="A270" s="191"/>
      <c r="B270" s="192"/>
      <c r="C270" s="192"/>
      <c r="D270" s="192"/>
      <c r="E270" s="192"/>
      <c r="F270" s="192"/>
      <c r="G270" s="186"/>
      <c r="H270" s="187"/>
      <c r="I270" s="188"/>
    </row>
    <row r="271" spans="1:25" x14ac:dyDescent="0.25">
      <c r="A271" s="145" t="str">
        <f>VLOOKUP(A273,Kausisuunnitelma,5,1)</f>
        <v>Kova 1</v>
      </c>
      <c r="B271" s="147" t="s">
        <v>108</v>
      </c>
      <c r="C271" s="146" t="str">
        <f>VLOOKUP(A273,Kausisuunnitelma,3,1)</f>
        <v>Anaerobinen kynnys</v>
      </c>
      <c r="D271" s="124"/>
      <c r="E271" s="147">
        <f>VLOOKUP(A273,Kausisuunnitelma,6,1)</f>
        <v>1</v>
      </c>
      <c r="F271" s="209" t="s">
        <v>209</v>
      </c>
      <c r="G271" s="209"/>
      <c r="H271" s="210" t="s">
        <v>210</v>
      </c>
      <c r="I271" s="211"/>
      <c r="U271" s="118"/>
      <c r="V271" s="118"/>
    </row>
    <row r="272" spans="1:25" ht="48" thickBot="1" x14ac:dyDescent="0.3">
      <c r="A272" s="125" t="s">
        <v>107</v>
      </c>
      <c r="B272" s="128">
        <f>WEEKNUM(A273,21)</f>
        <v>6</v>
      </c>
      <c r="C272" s="130" t="s">
        <v>70</v>
      </c>
      <c r="D272" s="129" t="s">
        <v>71</v>
      </c>
      <c r="E272" s="142" t="s">
        <v>159</v>
      </c>
      <c r="F272" s="121" t="s">
        <v>12</v>
      </c>
      <c r="G272" s="121" t="s">
        <v>13</v>
      </c>
      <c r="H272" s="122" t="s">
        <v>12</v>
      </c>
      <c r="I272" s="123" t="s">
        <v>13</v>
      </c>
      <c r="J272" s="2"/>
      <c r="K272" s="2"/>
      <c r="L272" s="2"/>
      <c r="M272" s="2"/>
      <c r="N272" s="2"/>
      <c r="O272" s="2"/>
      <c r="P272" s="2"/>
      <c r="Q272" s="2"/>
      <c r="R272" s="2"/>
      <c r="S272" s="2"/>
      <c r="T272" s="2" t="s">
        <v>160</v>
      </c>
    </row>
    <row r="273" spans="1:25" x14ac:dyDescent="0.25">
      <c r="A273" s="132">
        <f>A261+1</f>
        <v>44235</v>
      </c>
      <c r="B273" s="133">
        <f t="shared" ref="B273:B279" si="45">A273</f>
        <v>44235</v>
      </c>
      <c r="C273" s="134" t="str">
        <f>VLOOKUP(Y273,Intensiteettikoodi,2,1)</f>
        <v>Lepo</v>
      </c>
      <c r="D273" s="135" t="str">
        <f>IF(Alkukysely!$F$4&gt;1, "Puntti","-")</f>
        <v>-</v>
      </c>
      <c r="E273" s="143">
        <f>IF(E271&gt;0,ROUND(S273*X279,-1),VLOOKUP(Alkukysely!$E$4,Kevytkesto,2,1))</f>
        <v>0</v>
      </c>
      <c r="F273" s="136">
        <f ca="1">VLOOKUP(Y273,Intensiteettikoodi,3,1)*Harjoitusalueet!$C$5</f>
        <v>0</v>
      </c>
      <c r="G273" s="136">
        <f ca="1">VLOOKUP(Y273,Intensiteettikoodi,4,1)*Harjoitusalueet!$C$5</f>
        <v>0</v>
      </c>
      <c r="H273" s="137" t="e">
        <f t="shared" ref="H273:H279" ca="1" si="46">TIME(0,0,((2.8/F273)^(1/3))*500)</f>
        <v>#DIV/0!</v>
      </c>
      <c r="I273" s="138" t="e">
        <f ca="1">TIME(0,0,((2.8/G273)^(1/3))*500)</f>
        <v>#DIV/0!</v>
      </c>
      <c r="R273" s="119"/>
      <c r="S273" s="51">
        <f>VLOOKUP(Alkukysely!$E$4,Keskikesto,2,1)</f>
        <v>0</v>
      </c>
      <c r="Y273">
        <f>IF(E271&gt;0,VLOOKUP(Alkukysely!$E$4,Intensiteettinumero,2,1),VLOOKUP(Alkukysely!$E$4,Kevytnum,2,1))</f>
        <v>0</v>
      </c>
    </row>
    <row r="274" spans="1:25" x14ac:dyDescent="0.25">
      <c r="A274" s="126">
        <f t="shared" ref="A274:A279" si="47">A273+1</f>
        <v>44236</v>
      </c>
      <c r="B274" s="127">
        <f t="shared" si="45"/>
        <v>44236</v>
      </c>
      <c r="C274" s="131" t="str">
        <f>VLOOKUP(Y274,Intensiteettikoodi,2,1)</f>
        <v>Peruskestävyys</v>
      </c>
      <c r="D274" s="120"/>
      <c r="E274" s="144">
        <f>IF(E271&gt;0,ROUND(S274*X279,-1),VLOOKUP(Alkukysely!$E$4,Kevytkesto,3,1))</f>
        <v>50</v>
      </c>
      <c r="F274" s="139">
        <f ca="1">VLOOKUP(Y274,Intensiteettikoodi,3,1)*Harjoitusalueet!$C$5</f>
        <v>0</v>
      </c>
      <c r="G274" s="139">
        <f ca="1">VLOOKUP(Y274,Intensiteettikoodi,4,1)*Harjoitusalueet!$C$5</f>
        <v>0</v>
      </c>
      <c r="H274" s="140" t="e">
        <f t="shared" ca="1" si="46"/>
        <v>#DIV/0!</v>
      </c>
      <c r="I274" s="141" t="e">
        <f ca="1">TIME(0,0,((2.8/G274)^(1/3))*500)</f>
        <v>#DIV/0!</v>
      </c>
      <c r="R274" s="119"/>
      <c r="S274" s="51">
        <f>VLOOKUP(Alkukysely!$E$4,Keskikesto,3,1)</f>
        <v>50</v>
      </c>
      <c r="Y274">
        <f>IF(E271&gt;0,VLOOKUP(Alkukysely!$E$4,Intensiteettinumero,3,1),VLOOKUP(Alkukysely!$E$4,Kevytnum,3,1))</f>
        <v>2</v>
      </c>
    </row>
    <row r="275" spans="1:25" x14ac:dyDescent="0.25">
      <c r="A275" s="126">
        <f t="shared" si="47"/>
        <v>44237</v>
      </c>
      <c r="B275" s="127">
        <f t="shared" si="45"/>
        <v>44237</v>
      </c>
      <c r="C275" s="131" t="str">
        <f>IF(Y275=4,T275,VLOOKUP(Y275,Intensiteettikoodi,2,1))</f>
        <v>Peruskestävyys</v>
      </c>
      <c r="D275" s="120"/>
      <c r="E275" s="144">
        <f>IF(E271&gt;0,ROUND(S275*X279,-1),VLOOKUP(Alkukysely!$E$4,Kevytkesto,4,1))</f>
        <v>60</v>
      </c>
      <c r="F275" s="212">
        <f ca="1">IF(Alkukysely!$E$4&gt;1,VLOOKUP('Viikko-ohjelma'!A273,Kovat23,11,1),VLOOKUP(Y275,Intensiteettikoodi,3,1)*Harjoitusalueet!$C$5)</f>
        <v>0</v>
      </c>
      <c r="G275" s="212"/>
      <c r="H275" s="213" t="e">
        <f t="shared" ca="1" si="46"/>
        <v>#DIV/0!</v>
      </c>
      <c r="I275" s="214"/>
      <c r="R275" s="119"/>
      <c r="S275" s="51">
        <f>VLOOKUP(Alkukysely!$E$4,Keskikesto,4,1)</f>
        <v>62.5</v>
      </c>
      <c r="T275" t="str">
        <f>IF(Alkukysely!$E$4&gt;1,VLOOKUP('Viikko-ohjelma'!A273,Kovat23,8,1),C275)</f>
        <v>Peruskestävyys</v>
      </c>
      <c r="Y275">
        <f>IF(E271&gt;0,VLOOKUP(Alkukysely!$E$4,Intensiteettinumero,4,1),VLOOKUP(Alkukysely!$E$4,Kevytnum,4,1))</f>
        <v>2</v>
      </c>
    </row>
    <row r="276" spans="1:25" x14ac:dyDescent="0.25">
      <c r="A276" s="126">
        <f t="shared" si="47"/>
        <v>44238</v>
      </c>
      <c r="B276" s="127">
        <f t="shared" si="45"/>
        <v>44238</v>
      </c>
      <c r="C276" s="131" t="str">
        <f>VLOOKUP(Y276,Intensiteettikoodi,2,1)</f>
        <v>Lepo</v>
      </c>
      <c r="D276" s="120" t="str">
        <f>IF(AND(Alkukysely!$F$4&gt;2,E271&gt;0), "Puntti","-")</f>
        <v>-</v>
      </c>
      <c r="E276" s="144">
        <f>IF(E271&gt;0,ROUND(S276*X279,-1),VLOOKUP(Alkukysely!$E$4,Kevytkesto,5,1))</f>
        <v>0</v>
      </c>
      <c r="F276" s="139">
        <f ca="1">VLOOKUP(Y276,Intensiteettikoodi,3,1)*Harjoitusalueet!$C$5</f>
        <v>0</v>
      </c>
      <c r="G276" s="139">
        <f ca="1">VLOOKUP(Y276,Intensiteettikoodi,4,1)*Harjoitusalueet!$C$5</f>
        <v>0</v>
      </c>
      <c r="H276" s="140" t="e">
        <f t="shared" ca="1" si="46"/>
        <v>#DIV/0!</v>
      </c>
      <c r="I276" s="141" t="e">
        <f ca="1">TIME(0,0,((2.8/G276)^(1/3))*500)</f>
        <v>#DIV/0!</v>
      </c>
      <c r="R276" s="119"/>
      <c r="S276" s="51">
        <f>VLOOKUP(Alkukysely!$E$4,Keskikesto,5,1)</f>
        <v>0</v>
      </c>
      <c r="X276" s="46"/>
      <c r="Y276">
        <f>IF(E271&gt;0,VLOOKUP(Alkukysely!$E$4,Intensiteettinumero,5,1),VLOOKUP(Alkukysely!$E$4,Kevytnum,5,1))</f>
        <v>0</v>
      </c>
    </row>
    <row r="277" spans="1:25" x14ac:dyDescent="0.25">
      <c r="A277" s="126">
        <f t="shared" si="47"/>
        <v>44239</v>
      </c>
      <c r="B277" s="127">
        <f t="shared" si="45"/>
        <v>44239</v>
      </c>
      <c r="C277" s="131" t="str">
        <f>VLOOKUP(Y277,Intensiteettikoodi,2,1)</f>
        <v>Lepo</v>
      </c>
      <c r="D277" s="120"/>
      <c r="E277" s="144">
        <f>IF(E271&gt;0,ROUND(S277*X279,-1),VLOOKUP(Alkukysely!$E$4,Kevytkesto,6,1))</f>
        <v>0</v>
      </c>
      <c r="F277" s="139">
        <f ca="1">VLOOKUP(Y277,Intensiteettikoodi,3,1)*Harjoitusalueet!$C$5</f>
        <v>0</v>
      </c>
      <c r="G277" s="139">
        <f ca="1">VLOOKUP(Y277,Intensiteettikoodi,4,1)*Harjoitusalueet!$C$5</f>
        <v>0</v>
      </c>
      <c r="H277" s="140" t="e">
        <f t="shared" ca="1" si="46"/>
        <v>#DIV/0!</v>
      </c>
      <c r="I277" s="141" t="e">
        <f ca="1">TIME(0,0,((2.8/G277)^(1/3))*500)</f>
        <v>#DIV/0!</v>
      </c>
      <c r="R277" s="119"/>
      <c r="S277" s="51">
        <f>VLOOKUP(Alkukysely!$E$4,Keskikesto,6,1)</f>
        <v>0</v>
      </c>
      <c r="X277" s="46"/>
      <c r="Y277">
        <f>IF(E271&gt;0,VLOOKUP(Alkukysely!$E$4,Intensiteettinumero,6,1),VLOOKUP(Alkukysely!$E$4,Kevytnum,6,1))</f>
        <v>0</v>
      </c>
    </row>
    <row r="278" spans="1:25" x14ac:dyDescent="0.25">
      <c r="A278" s="126">
        <f t="shared" si="47"/>
        <v>44240</v>
      </c>
      <c r="B278" s="127">
        <f t="shared" si="45"/>
        <v>44240</v>
      </c>
      <c r="C278" s="131" t="str">
        <f>IF(Y278=4,T278,VLOOKUP(Y278,Intensiteettikoodi,2,1))</f>
        <v>10x4min/2min</v>
      </c>
      <c r="D278" s="120"/>
      <c r="E278" s="144">
        <v>60</v>
      </c>
      <c r="F278" s="212">
        <f ca="1">IF(Alkukysely!$E$4&gt;1,VLOOKUP('Viikko-ohjelma'!A273,Kovat23,24,1),VLOOKUP(A273,Kovat1,11,1))</f>
        <v>0</v>
      </c>
      <c r="G278" s="212"/>
      <c r="H278" s="213" t="e">
        <f t="shared" ca="1" si="46"/>
        <v>#DIV/0!</v>
      </c>
      <c r="I278" s="214"/>
      <c r="R278" s="119"/>
      <c r="S278" s="51">
        <f>VLOOKUP(Alkukysely!$E$4,Keskikesto,7,1)</f>
        <v>67.5</v>
      </c>
      <c r="T278" t="str">
        <f>IF(Alkukysely!$E$4&gt;1,VLOOKUP('Viikko-ohjelma'!A273,Kovat23,21,1),VLOOKUP(A273,Kovat1,8,1))</f>
        <v>10x4min/2min</v>
      </c>
      <c r="Y278">
        <f>IF(E271&gt;0,VLOOKUP(Alkukysely!$E$4,Intensiteettinumero,7,1),VLOOKUP(Alkukysely!$E$4,Kevytnum,7,1))</f>
        <v>4</v>
      </c>
    </row>
    <row r="279" spans="1:25" x14ac:dyDescent="0.25">
      <c r="A279" s="126">
        <f t="shared" si="47"/>
        <v>44241</v>
      </c>
      <c r="B279" s="127">
        <f t="shared" si="45"/>
        <v>44241</v>
      </c>
      <c r="C279" s="131" t="str">
        <f>VLOOKUP(Y279,Intensiteettikoodi,2,1)</f>
        <v>Pitkä peruskestävyys</v>
      </c>
      <c r="D279" s="120"/>
      <c r="E279" s="144">
        <f>IF(E271&gt;0,ROUND(S279*X279,-1),VLOOKUP(Alkukysely!$E$4,Kevytkesto,8,1))</f>
        <v>120</v>
      </c>
      <c r="F279" s="139">
        <f ca="1">VLOOKUP(Y279,Intensiteettikoodi,3,1)*Harjoitusalueet!$C$5</f>
        <v>0</v>
      </c>
      <c r="G279" s="139">
        <f ca="1">VLOOKUP(Y279,Intensiteettikoodi,4,1)*Harjoitusalueet!$C$5</f>
        <v>0</v>
      </c>
      <c r="H279" s="140" t="e">
        <f t="shared" ca="1" si="46"/>
        <v>#DIV/0!</v>
      </c>
      <c r="I279" s="141" t="e">
        <f ca="1">TIME(0,0,((2.8/G279)^(1/3))*500)</f>
        <v>#DIV/0!</v>
      </c>
      <c r="R279" s="119"/>
      <c r="S279" s="51">
        <f>VLOOKUP(Alkukysely!$E$4,Keskikesto,8,1)</f>
        <v>120</v>
      </c>
      <c r="V279">
        <f>VLOOKUP(A273,Kausisuunnitelma,7,1)</f>
        <v>4.8000000000000007</v>
      </c>
      <c r="W279">
        <f>VLOOKUP(Alkukysely!$E$4,Keskikesto,10)</f>
        <v>5</v>
      </c>
      <c r="X279">
        <f>V279/W279</f>
        <v>0.96000000000000019</v>
      </c>
      <c r="Y279">
        <f>IF(E271&gt;0,VLOOKUP(Alkukysely!$E$4,Intensiteettinumero,8,1),VLOOKUP(Alkukysely!$E$4,Kevytnum,8,1))</f>
        <v>3</v>
      </c>
    </row>
    <row r="280" spans="1:25" x14ac:dyDescent="0.25">
      <c r="A280" s="193" t="s">
        <v>207</v>
      </c>
      <c r="B280" s="194"/>
      <c r="C280" s="194"/>
      <c r="D280" s="194"/>
      <c r="E280" s="194"/>
      <c r="F280" s="195"/>
      <c r="G280" s="196" t="s">
        <v>208</v>
      </c>
      <c r="H280" s="197"/>
      <c r="I280" s="198"/>
    </row>
    <row r="281" spans="1:25" x14ac:dyDescent="0.25">
      <c r="A281" s="180" t="str">
        <f>C275</f>
        <v>Peruskestävyys</v>
      </c>
      <c r="B281" s="181"/>
      <c r="C281" s="181"/>
      <c r="D281" s="181"/>
      <c r="E281" s="181"/>
      <c r="F281" s="202"/>
      <c r="G281" s="199"/>
      <c r="H281" s="200"/>
      <c r="I281" s="201"/>
    </row>
    <row r="282" spans="1:25" x14ac:dyDescent="0.25">
      <c r="A282" s="184" t="str">
        <f>IF(Alkukysely!$E$4&gt;1,VLOOKUP(A273,Kovat23,34,1),"-")</f>
        <v>-</v>
      </c>
      <c r="B282" s="184"/>
      <c r="C282" s="184"/>
      <c r="D282" s="184"/>
      <c r="E282" s="184"/>
      <c r="F282" s="203"/>
      <c r="G282" s="183" t="str">
        <f>IF(Alkukysely!$E$4&gt;1,VLOOKUP(A273,Kovat23,35,1),"-")</f>
        <v>-</v>
      </c>
      <c r="H282" s="184"/>
      <c r="I282" s="185"/>
    </row>
    <row r="283" spans="1:25" x14ac:dyDescent="0.25">
      <c r="A283" s="184"/>
      <c r="B283" s="184"/>
      <c r="C283" s="184"/>
      <c r="D283" s="184"/>
      <c r="E283" s="184"/>
      <c r="F283" s="203"/>
      <c r="G283" s="183"/>
      <c r="H283" s="184"/>
      <c r="I283" s="185"/>
    </row>
    <row r="284" spans="1:25" ht="16.5" thickBot="1" x14ac:dyDescent="0.3">
      <c r="A284" s="204"/>
      <c r="B284" s="204"/>
      <c r="C284" s="204"/>
      <c r="D284" s="204"/>
      <c r="E284" s="204"/>
      <c r="F284" s="205"/>
      <c r="G284" s="206"/>
      <c r="H284" s="207"/>
      <c r="I284" s="208"/>
    </row>
    <row r="285" spans="1:25" ht="17.25" thickTop="1" thickBot="1" x14ac:dyDescent="0.3">
      <c r="A285" s="180" t="str">
        <f>C278</f>
        <v>10x4min/2min</v>
      </c>
      <c r="B285" s="181"/>
      <c r="C285" s="181"/>
      <c r="D285" s="181"/>
      <c r="E285" s="181"/>
      <c r="F285" s="182"/>
      <c r="G285" s="183" t="str">
        <f>IF(Alkukysely!$E$4&gt;1,VLOOKUP(A273,Kovat23,37,1),VLOOKUP(A273,Kovat1,35,1))</f>
        <v>15 min. alkulämppä + 15 min. loppujäähdyttely</v>
      </c>
      <c r="H285" s="184"/>
      <c r="I285" s="185"/>
    </row>
    <row r="286" spans="1:25" ht="17.25" thickTop="1" thickBot="1" x14ac:dyDescent="0.3">
      <c r="A286" s="189" t="str">
        <f>IF(Alkukysely!$E$4&gt;1,VLOOKUP(A273,Kovat23,36,1),VLOOKUP(A273,Kovat1,34,1))</f>
        <v xml:space="preserve">Harjoituksen painopiste siirtyy nyt anaerobiselle kynnykselle sekä vauhtikestävyysalueelle kun ohjelma etenee kohti 10km sekä puolimaraton/maraton kilpailuja. </v>
      </c>
      <c r="B286" s="190"/>
      <c r="C286" s="190"/>
      <c r="D286" s="190"/>
      <c r="E286" s="190"/>
      <c r="F286" s="190"/>
      <c r="G286" s="183"/>
      <c r="H286" s="184"/>
      <c r="I286" s="185"/>
    </row>
    <row r="287" spans="1:25" ht="17.25" thickTop="1" thickBot="1" x14ac:dyDescent="0.3">
      <c r="A287" s="189"/>
      <c r="B287" s="190"/>
      <c r="C287" s="190"/>
      <c r="D287" s="190"/>
      <c r="E287" s="190"/>
      <c r="F287" s="190"/>
      <c r="G287" s="183"/>
      <c r="H287" s="184"/>
      <c r="I287" s="185"/>
    </row>
    <row r="288" spans="1:25" ht="86.25" customHeight="1" thickTop="1" thickBot="1" x14ac:dyDescent="0.3">
      <c r="A288" s="191"/>
      <c r="B288" s="192"/>
      <c r="C288" s="192"/>
      <c r="D288" s="192"/>
      <c r="E288" s="192"/>
      <c r="F288" s="192"/>
      <c r="G288" s="186"/>
      <c r="H288" s="187"/>
      <c r="I288" s="188"/>
    </row>
    <row r="289" spans="1:25" x14ac:dyDescent="0.25">
      <c r="A289" s="145" t="str">
        <f>VLOOKUP(A291,Kausisuunnitelma,5,1)</f>
        <v>Kova 2</v>
      </c>
      <c r="B289" s="147" t="s">
        <v>108</v>
      </c>
      <c r="C289" s="146" t="str">
        <f>VLOOKUP(A291,Kausisuunnitelma,3,1)</f>
        <v>Anaerobinen kynnys</v>
      </c>
      <c r="D289" s="124"/>
      <c r="E289" s="147">
        <f>VLOOKUP(A291,Kausisuunnitelma,6,1)</f>
        <v>2</v>
      </c>
      <c r="F289" s="209" t="s">
        <v>209</v>
      </c>
      <c r="G289" s="209"/>
      <c r="H289" s="210" t="s">
        <v>210</v>
      </c>
      <c r="I289" s="211"/>
      <c r="U289" s="118"/>
      <c r="V289" s="118"/>
    </row>
    <row r="290" spans="1:25" ht="48" thickBot="1" x14ac:dyDescent="0.3">
      <c r="A290" s="125" t="s">
        <v>107</v>
      </c>
      <c r="B290" s="128">
        <f>WEEKNUM(A291,21)</f>
        <v>7</v>
      </c>
      <c r="C290" s="130" t="s">
        <v>70</v>
      </c>
      <c r="D290" s="129" t="s">
        <v>71</v>
      </c>
      <c r="E290" s="142" t="s">
        <v>159</v>
      </c>
      <c r="F290" s="121" t="s">
        <v>12</v>
      </c>
      <c r="G290" s="121" t="s">
        <v>13</v>
      </c>
      <c r="H290" s="122" t="s">
        <v>12</v>
      </c>
      <c r="I290" s="123" t="s">
        <v>13</v>
      </c>
      <c r="J290" s="2"/>
      <c r="K290" s="2"/>
      <c r="L290" s="2"/>
      <c r="M290" s="2"/>
      <c r="N290" s="2"/>
      <c r="O290" s="2"/>
      <c r="P290" s="2"/>
      <c r="Q290" s="2"/>
      <c r="R290" s="2"/>
      <c r="S290" s="2"/>
      <c r="T290" s="2" t="s">
        <v>160</v>
      </c>
    </row>
    <row r="291" spans="1:25" x14ac:dyDescent="0.25">
      <c r="A291" s="132">
        <f>A279+1</f>
        <v>44242</v>
      </c>
      <c r="B291" s="133">
        <f t="shared" ref="B291:B297" si="48">A291</f>
        <v>44242</v>
      </c>
      <c r="C291" s="134" t="str">
        <f>VLOOKUP(Y291,Intensiteettikoodi,2,1)</f>
        <v>Lepo</v>
      </c>
      <c r="D291" s="135" t="str">
        <f>IF(Alkukysely!$F$4&gt;1, "Puntti","-")</f>
        <v>-</v>
      </c>
      <c r="E291" s="143">
        <f>IF(E289&gt;0,ROUND(S291*X297,-1),VLOOKUP(Alkukysely!$E$4,Kevytkesto,2,1))</f>
        <v>0</v>
      </c>
      <c r="F291" s="136">
        <f ca="1">VLOOKUP(Y291,Intensiteettikoodi,3,1)*Harjoitusalueet!$C$5</f>
        <v>0</v>
      </c>
      <c r="G291" s="136">
        <f ca="1">VLOOKUP(Y291,Intensiteettikoodi,4,1)*Harjoitusalueet!$C$5</f>
        <v>0</v>
      </c>
      <c r="H291" s="137" t="e">
        <f t="shared" ref="H291:H297" ca="1" si="49">TIME(0,0,((2.8/F291)^(1/3))*500)</f>
        <v>#DIV/0!</v>
      </c>
      <c r="I291" s="138" t="e">
        <f ca="1">TIME(0,0,((2.8/G291)^(1/3))*500)</f>
        <v>#DIV/0!</v>
      </c>
      <c r="R291" s="119"/>
      <c r="S291" s="51">
        <f>VLOOKUP(Alkukysely!$E$4,Keskikesto,2,1)</f>
        <v>0</v>
      </c>
      <c r="Y291">
        <f>IF(E289&gt;0,VLOOKUP(Alkukysely!$E$4,Intensiteettinumero,2,1),VLOOKUP(Alkukysely!$E$4,Kevytnum,2,1))</f>
        <v>0</v>
      </c>
    </row>
    <row r="292" spans="1:25" x14ac:dyDescent="0.25">
      <c r="A292" s="126">
        <f t="shared" ref="A292:A297" si="50">A291+1</f>
        <v>44243</v>
      </c>
      <c r="B292" s="127">
        <f t="shared" si="48"/>
        <v>44243</v>
      </c>
      <c r="C292" s="131" t="str">
        <f>VLOOKUP(Y292,Intensiteettikoodi,2,1)</f>
        <v>Peruskestävyys</v>
      </c>
      <c r="D292" s="120"/>
      <c r="E292" s="144">
        <f>IF(E289&gt;0,ROUND(S292*X297,-1),VLOOKUP(Alkukysely!$E$4,Kevytkesto,3,1))</f>
        <v>60</v>
      </c>
      <c r="F292" s="139">
        <f ca="1">VLOOKUP(Y292,Intensiteettikoodi,3,1)*Harjoitusalueet!$C$5</f>
        <v>0</v>
      </c>
      <c r="G292" s="139">
        <f ca="1">VLOOKUP(Y292,Intensiteettikoodi,4,1)*Harjoitusalueet!$C$5</f>
        <v>0</v>
      </c>
      <c r="H292" s="140" t="e">
        <f t="shared" ca="1" si="49"/>
        <v>#DIV/0!</v>
      </c>
      <c r="I292" s="141" t="e">
        <f ca="1">TIME(0,0,((2.8/G292)^(1/3))*500)</f>
        <v>#DIV/0!</v>
      </c>
      <c r="R292" s="119"/>
      <c r="S292" s="51">
        <f>VLOOKUP(Alkukysely!$E$4,Keskikesto,3,1)</f>
        <v>50</v>
      </c>
      <c r="Y292">
        <f>IF(E289&gt;0,VLOOKUP(Alkukysely!$E$4,Intensiteettinumero,3,1),VLOOKUP(Alkukysely!$E$4,Kevytnum,3,1))</f>
        <v>2</v>
      </c>
    </row>
    <row r="293" spans="1:25" x14ac:dyDescent="0.25">
      <c r="A293" s="126">
        <f t="shared" si="50"/>
        <v>44244</v>
      </c>
      <c r="B293" s="127">
        <f t="shared" si="48"/>
        <v>44244</v>
      </c>
      <c r="C293" s="131" t="str">
        <f>IF(Y293=4,T293,VLOOKUP(Y293,Intensiteettikoodi,2,1))</f>
        <v>Peruskestävyys</v>
      </c>
      <c r="D293" s="120"/>
      <c r="E293" s="144">
        <f>IF(E289&gt;0,ROUND(S293*X297,-1),VLOOKUP(Alkukysely!$E$4,Kevytkesto,4,1))</f>
        <v>70</v>
      </c>
      <c r="F293" s="212">
        <f ca="1">IF(Alkukysely!$E$4&gt;1,VLOOKUP('Viikko-ohjelma'!A291,Kovat23,11,1),VLOOKUP(Y293,Intensiteettikoodi,3,1)*Harjoitusalueet!$C$5)</f>
        <v>0</v>
      </c>
      <c r="G293" s="212"/>
      <c r="H293" s="213" t="e">
        <f t="shared" ca="1" si="49"/>
        <v>#DIV/0!</v>
      </c>
      <c r="I293" s="214"/>
      <c r="R293" s="119"/>
      <c r="S293" s="51">
        <f>VLOOKUP(Alkukysely!$E$4,Keskikesto,4,1)</f>
        <v>62.5</v>
      </c>
      <c r="T293" t="str">
        <f>IF(Alkukysely!$E$4&gt;1,VLOOKUP('Viikko-ohjelma'!A291,Kovat23,8,1),C293)</f>
        <v>Peruskestävyys</v>
      </c>
      <c r="Y293">
        <f>IF(E289&gt;0,VLOOKUP(Alkukysely!$E$4,Intensiteettinumero,4,1),VLOOKUP(Alkukysely!$E$4,Kevytnum,4,1))</f>
        <v>2</v>
      </c>
    </row>
    <row r="294" spans="1:25" x14ac:dyDescent="0.25">
      <c r="A294" s="126">
        <f t="shared" si="50"/>
        <v>44245</v>
      </c>
      <c r="B294" s="127">
        <f t="shared" si="48"/>
        <v>44245</v>
      </c>
      <c r="C294" s="131" t="str">
        <f>VLOOKUP(Y294,Intensiteettikoodi,2,1)</f>
        <v>Lepo</v>
      </c>
      <c r="D294" s="120" t="str">
        <f>IF(AND(Alkukysely!$F$4&gt;2,E289&gt;0), "Puntti","-")</f>
        <v>-</v>
      </c>
      <c r="E294" s="144">
        <f>IF(E289&gt;0,ROUND(S294*X297,-1),VLOOKUP(Alkukysely!$E$4,Kevytkesto,5,1))</f>
        <v>0</v>
      </c>
      <c r="F294" s="139">
        <f ca="1">VLOOKUP(Y294,Intensiteettikoodi,3,1)*Harjoitusalueet!$C$5</f>
        <v>0</v>
      </c>
      <c r="G294" s="139">
        <f ca="1">VLOOKUP(Y294,Intensiteettikoodi,4,1)*Harjoitusalueet!$C$5</f>
        <v>0</v>
      </c>
      <c r="H294" s="140" t="e">
        <f t="shared" ca="1" si="49"/>
        <v>#DIV/0!</v>
      </c>
      <c r="I294" s="141" t="e">
        <f ca="1">TIME(0,0,((2.8/G294)^(1/3))*500)</f>
        <v>#DIV/0!</v>
      </c>
      <c r="R294" s="119"/>
      <c r="S294" s="51">
        <f>VLOOKUP(Alkukysely!$E$4,Keskikesto,5,1)</f>
        <v>0</v>
      </c>
      <c r="X294" s="46"/>
      <c r="Y294">
        <f>IF(E289&gt;0,VLOOKUP(Alkukysely!$E$4,Intensiteettinumero,5,1),VLOOKUP(Alkukysely!$E$4,Kevytnum,5,1))</f>
        <v>0</v>
      </c>
    </row>
    <row r="295" spans="1:25" x14ac:dyDescent="0.25">
      <c r="A295" s="126">
        <f t="shared" si="50"/>
        <v>44246</v>
      </c>
      <c r="B295" s="127">
        <f t="shared" si="48"/>
        <v>44246</v>
      </c>
      <c r="C295" s="131" t="str">
        <f>VLOOKUP(Y295,Intensiteettikoodi,2,1)</f>
        <v>Lepo</v>
      </c>
      <c r="D295" s="120"/>
      <c r="E295" s="144">
        <f>IF(E289&gt;0,ROUND(S295*X297,-1),VLOOKUP(Alkukysely!$E$4,Kevytkesto,6,1))</f>
        <v>0</v>
      </c>
      <c r="F295" s="139">
        <f ca="1">VLOOKUP(Y295,Intensiteettikoodi,3,1)*Harjoitusalueet!$C$5</f>
        <v>0</v>
      </c>
      <c r="G295" s="139">
        <f ca="1">VLOOKUP(Y295,Intensiteettikoodi,4,1)*Harjoitusalueet!$C$5</f>
        <v>0</v>
      </c>
      <c r="H295" s="140" t="e">
        <f t="shared" ca="1" si="49"/>
        <v>#DIV/0!</v>
      </c>
      <c r="I295" s="141" t="e">
        <f ca="1">TIME(0,0,((2.8/G295)^(1/3))*500)</f>
        <v>#DIV/0!</v>
      </c>
      <c r="R295" s="119"/>
      <c r="S295" s="51">
        <f>VLOOKUP(Alkukysely!$E$4,Keskikesto,6,1)</f>
        <v>0</v>
      </c>
      <c r="X295" s="46"/>
      <c r="Y295">
        <f>IF(E289&gt;0,VLOOKUP(Alkukysely!$E$4,Intensiteettinumero,6,1),VLOOKUP(Alkukysely!$E$4,Kevytnum,6,1))</f>
        <v>0</v>
      </c>
    </row>
    <row r="296" spans="1:25" x14ac:dyDescent="0.25">
      <c r="A296" s="126">
        <f t="shared" si="50"/>
        <v>44247</v>
      </c>
      <c r="B296" s="127">
        <f t="shared" si="48"/>
        <v>44247</v>
      </c>
      <c r="C296" s="131" t="str">
        <f>IF(Y296=4,T296,VLOOKUP(Y296,Intensiteettikoodi,2,1))</f>
        <v>10x5min/2min</v>
      </c>
      <c r="D296" s="120"/>
      <c r="E296" s="144">
        <f>IF(E289&gt;0,ROUND(S296*X297,-1),VLOOKUP(Alkukysely!$E$4,Kevytkesto,7,1))</f>
        <v>80</v>
      </c>
      <c r="F296" s="212">
        <f ca="1">IF(Alkukysely!$E$4&gt;1,VLOOKUP('Viikko-ohjelma'!A291,Kovat23,24,1),VLOOKUP(A291,Kovat1,11,1))</f>
        <v>0</v>
      </c>
      <c r="G296" s="212"/>
      <c r="H296" s="213" t="e">
        <f t="shared" ca="1" si="49"/>
        <v>#DIV/0!</v>
      </c>
      <c r="I296" s="214"/>
      <c r="R296" s="119"/>
      <c r="S296" s="51">
        <f>VLOOKUP(Alkukysely!$E$4,Keskikesto,7,1)</f>
        <v>67.5</v>
      </c>
      <c r="T296" t="str">
        <f>IF(Alkukysely!$E$4&gt;1,VLOOKUP('Viikko-ohjelma'!A291,Kovat23,21,1),VLOOKUP(A291,Kovat1,8,1))</f>
        <v>10x5min/2min</v>
      </c>
      <c r="Y296">
        <f>IF(E289&gt;0,VLOOKUP(Alkukysely!$E$4,Intensiteettinumero,7,1),VLOOKUP(Alkukysely!$E$4,Kevytnum,7,1))</f>
        <v>4</v>
      </c>
    </row>
    <row r="297" spans="1:25" ht="20.25" customHeight="1" thickBot="1" x14ac:dyDescent="0.3">
      <c r="A297" s="126">
        <f t="shared" si="50"/>
        <v>44248</v>
      </c>
      <c r="B297" s="127">
        <f t="shared" si="48"/>
        <v>44248</v>
      </c>
      <c r="C297" s="131" t="str">
        <f>VLOOKUP(Y297,Intensiteettikoodi,2,1)</f>
        <v>Pitkä peruskestävyys</v>
      </c>
      <c r="D297" s="120"/>
      <c r="E297" s="144">
        <f>IF(E289&gt;0,ROUND(S297*X297,-1),VLOOKUP(Alkukysely!$E$4,Kevytkesto,8,1))</f>
        <v>130</v>
      </c>
      <c r="F297" s="139">
        <f ca="1">VLOOKUP(Y297,Intensiteettikoodi,3,1)*Harjoitusalueet!$C$5</f>
        <v>0</v>
      </c>
      <c r="G297" s="139">
        <f ca="1">VLOOKUP(Y297,Intensiteettikoodi,4,1)*Harjoitusalueet!$C$5</f>
        <v>0</v>
      </c>
      <c r="H297" s="140" t="e">
        <f t="shared" ca="1" si="49"/>
        <v>#DIV/0!</v>
      </c>
      <c r="I297" s="141" t="e">
        <f ca="1">TIME(0,0,((2.8/G297)^(1/3))*500)</f>
        <v>#DIV/0!</v>
      </c>
      <c r="R297" s="119"/>
      <c r="S297" s="51">
        <f>VLOOKUP(Alkukysely!$E$4,Keskikesto,8,1)</f>
        <v>120</v>
      </c>
      <c r="V297">
        <f>VLOOKUP(A291,Kausisuunnitelma,7,1)</f>
        <v>5.6000000000000005</v>
      </c>
      <c r="W297">
        <f>VLOOKUP(Alkukysely!$E$4,Keskikesto,10)</f>
        <v>5</v>
      </c>
      <c r="X297">
        <f>V297/W297</f>
        <v>1.1200000000000001</v>
      </c>
      <c r="Y297">
        <f>IF(E289&gt;0,VLOOKUP(Alkukysely!$E$4,Intensiteettinumero,8,1),VLOOKUP(Alkukysely!$E$4,Kevytnum,8,1))</f>
        <v>3</v>
      </c>
    </row>
    <row r="298" spans="1:25" ht="17.25" customHeight="1" x14ac:dyDescent="0.25">
      <c r="A298" s="193" t="s">
        <v>207</v>
      </c>
      <c r="B298" s="194"/>
      <c r="C298" s="194"/>
      <c r="D298" s="194"/>
      <c r="E298" s="194"/>
      <c r="F298" s="195"/>
      <c r="G298" s="196" t="s">
        <v>208</v>
      </c>
      <c r="H298" s="197"/>
      <c r="I298" s="198"/>
    </row>
    <row r="299" spans="1:25" ht="13.5" customHeight="1" x14ac:dyDescent="0.25">
      <c r="A299" s="180" t="str">
        <f>C293</f>
        <v>Peruskestävyys</v>
      </c>
      <c r="B299" s="181"/>
      <c r="C299" s="181"/>
      <c r="D299" s="181"/>
      <c r="E299" s="181"/>
      <c r="F299" s="202"/>
      <c r="G299" s="199"/>
      <c r="H299" s="200"/>
      <c r="I299" s="201"/>
    </row>
    <row r="300" spans="1:25" ht="18.75" customHeight="1" x14ac:dyDescent="0.25">
      <c r="A300" s="184" t="str">
        <f>IF(Alkukysely!$E$4&gt;1,VLOOKUP(A291,Kovat23,34,1),"-")</f>
        <v>-</v>
      </c>
      <c r="B300" s="184"/>
      <c r="C300" s="184"/>
      <c r="D300" s="184"/>
      <c r="E300" s="184"/>
      <c r="F300" s="203"/>
      <c r="G300" s="183" t="str">
        <f>IF(Alkukysely!$E$4&gt;1,VLOOKUP(A291,Kovat23,35,1),"-")</f>
        <v>-</v>
      </c>
      <c r="H300" s="184"/>
      <c r="I300" s="185"/>
    </row>
    <row r="301" spans="1:25" ht="17.25" customHeight="1" x14ac:dyDescent="0.25">
      <c r="A301" s="184"/>
      <c r="B301" s="184"/>
      <c r="C301" s="184"/>
      <c r="D301" s="184"/>
      <c r="E301" s="184"/>
      <c r="F301" s="203"/>
      <c r="G301" s="183"/>
      <c r="H301" s="184"/>
      <c r="I301" s="185"/>
    </row>
    <row r="302" spans="1:25" ht="16.5" customHeight="1" thickBot="1" x14ac:dyDescent="0.3">
      <c r="A302" s="204"/>
      <c r="B302" s="204"/>
      <c r="C302" s="204"/>
      <c r="D302" s="204"/>
      <c r="E302" s="204"/>
      <c r="F302" s="205"/>
      <c r="G302" s="206"/>
      <c r="H302" s="207"/>
      <c r="I302" s="208"/>
    </row>
    <row r="303" spans="1:25" ht="13.5" customHeight="1" thickTop="1" thickBot="1" x14ac:dyDescent="0.3">
      <c r="A303" s="180" t="str">
        <f>C296</f>
        <v>10x5min/2min</v>
      </c>
      <c r="B303" s="181"/>
      <c r="C303" s="181"/>
      <c r="D303" s="181"/>
      <c r="E303" s="181"/>
      <c r="F303" s="182"/>
      <c r="G303" s="183" t="str">
        <f>IF(Alkukysely!$E$4&gt;1,VLOOKUP(A291,Kovat23,37,1),VLOOKUP(A291,Kovat1,35,1))</f>
        <v>15 min. alkulämppä + 10 min. loppujäähdyttely</v>
      </c>
      <c r="H303" s="184"/>
      <c r="I303" s="185"/>
    </row>
    <row r="304" spans="1:25" ht="15" customHeight="1" thickTop="1" thickBot="1" x14ac:dyDescent="0.3">
      <c r="A304" s="189" t="str">
        <f>IF(Alkukysely!$E$4&gt;1,VLOOKUP(A291,Kovat23,36,1),VLOOKUP(A291,Kovat1,34,1))</f>
        <v>Kasvatetaan sarjojen pituutta viime viikosta 1 minuutilla. Mikäli harjoitus tuntui viime viikolla helpolta voit myös nostaa tehoa, mutta tehon nostossa kannattaa olla maltillinen. Voit myös nostaa tehoa harjoituksen edetessä (erityisesti 6.-10. intervalli).</v>
      </c>
      <c r="B304" s="190"/>
      <c r="C304" s="190"/>
      <c r="D304" s="190"/>
      <c r="E304" s="190"/>
      <c r="F304" s="190"/>
      <c r="G304" s="183"/>
      <c r="H304" s="184"/>
      <c r="I304" s="185"/>
    </row>
    <row r="305" spans="1:25" ht="18" customHeight="1" thickTop="1" thickBot="1" x14ac:dyDescent="0.3">
      <c r="A305" s="189"/>
      <c r="B305" s="190"/>
      <c r="C305" s="190"/>
      <c r="D305" s="190"/>
      <c r="E305" s="190"/>
      <c r="F305" s="190"/>
      <c r="G305" s="183"/>
      <c r="H305" s="184"/>
      <c r="I305" s="185"/>
    </row>
    <row r="306" spans="1:25" ht="17.25" customHeight="1" thickTop="1" thickBot="1" x14ac:dyDescent="0.3">
      <c r="A306" s="191"/>
      <c r="B306" s="192"/>
      <c r="C306" s="192"/>
      <c r="D306" s="192"/>
      <c r="E306" s="192"/>
      <c r="F306" s="192"/>
      <c r="G306" s="186"/>
      <c r="H306" s="187"/>
      <c r="I306" s="188"/>
    </row>
    <row r="307" spans="1:25" x14ac:dyDescent="0.25">
      <c r="A307" s="145" t="str">
        <f>VLOOKUP(A309,Kausisuunnitelma,5,1)</f>
        <v>Kevyt</v>
      </c>
      <c r="B307" s="147" t="s">
        <v>108</v>
      </c>
      <c r="C307" s="146" t="str">
        <f>VLOOKUP(A309,Kausisuunnitelma,3,1)</f>
        <v>Anaerobinen kynnys</v>
      </c>
      <c r="D307" s="124"/>
      <c r="E307" s="147">
        <f>VLOOKUP(A309,Kausisuunnitelma,6,1)</f>
        <v>0</v>
      </c>
      <c r="F307" s="209" t="s">
        <v>209</v>
      </c>
      <c r="G307" s="209"/>
      <c r="H307" s="210" t="s">
        <v>210</v>
      </c>
      <c r="I307" s="211"/>
      <c r="U307" s="118"/>
      <c r="V307" s="118"/>
    </row>
    <row r="308" spans="1:25" ht="48" thickBot="1" x14ac:dyDescent="0.3">
      <c r="A308" s="125" t="s">
        <v>107</v>
      </c>
      <c r="B308" s="128">
        <f>WEEKNUM(A309,21)</f>
        <v>8</v>
      </c>
      <c r="C308" s="130" t="s">
        <v>70</v>
      </c>
      <c r="D308" s="129" t="s">
        <v>71</v>
      </c>
      <c r="E308" s="142" t="s">
        <v>159</v>
      </c>
      <c r="F308" s="121" t="s">
        <v>12</v>
      </c>
      <c r="G308" s="121" t="s">
        <v>13</v>
      </c>
      <c r="H308" s="122" t="s">
        <v>12</v>
      </c>
      <c r="I308" s="123" t="s">
        <v>13</v>
      </c>
      <c r="J308" s="2"/>
      <c r="K308" s="2"/>
      <c r="L308" s="2"/>
      <c r="M308" s="2"/>
      <c r="N308" s="2"/>
      <c r="O308" s="2"/>
      <c r="P308" s="2"/>
      <c r="Q308" s="2"/>
      <c r="R308" s="2"/>
      <c r="S308" s="2"/>
      <c r="T308" s="2" t="s">
        <v>160</v>
      </c>
    </row>
    <row r="309" spans="1:25" x14ac:dyDescent="0.25">
      <c r="A309" s="132">
        <f>A297+1</f>
        <v>44249</v>
      </c>
      <c r="B309" s="133">
        <f t="shared" ref="B309:B315" si="51">A309</f>
        <v>44249</v>
      </c>
      <c r="C309" s="134" t="str">
        <f>VLOOKUP(Y309,Intensiteettikoodi,2,1)</f>
        <v>Lepo</v>
      </c>
      <c r="D309" s="135" t="str">
        <f>IF(Alkukysely!$F$4&gt;1, "Puntti","-")</f>
        <v>-</v>
      </c>
      <c r="E309" s="143">
        <f>IF(E307&gt;0,ROUND(S309*X315,-1),VLOOKUP(Alkukysely!$E$4,Kevytkesto,2,1))</f>
        <v>0</v>
      </c>
      <c r="F309" s="136">
        <f ca="1">VLOOKUP(Y309,Intensiteettikoodi,3,1)*Harjoitusalueet!$C$5</f>
        <v>0</v>
      </c>
      <c r="G309" s="136">
        <f ca="1">VLOOKUP(Y309,Intensiteettikoodi,4,1)*Harjoitusalueet!$C$5</f>
        <v>0</v>
      </c>
      <c r="H309" s="137" t="e">
        <f t="shared" ref="H309:H315" ca="1" si="52">TIME(0,0,((2.8/F309)^(1/3))*500)</f>
        <v>#DIV/0!</v>
      </c>
      <c r="I309" s="138" t="e">
        <f ca="1">TIME(0,0,((2.8/G309)^(1/3))*500)</f>
        <v>#DIV/0!</v>
      </c>
      <c r="R309" s="119"/>
      <c r="S309" s="51">
        <f>VLOOKUP(Alkukysely!$E$4,Keskikesto,2,1)</f>
        <v>0</v>
      </c>
      <c r="Y309">
        <f>IF(E307&gt;0,VLOOKUP(Alkukysely!$E$4,Intensiteettinumero,2,1),VLOOKUP(Alkukysely!$E$4,Kevytnum,2,1))</f>
        <v>0</v>
      </c>
    </row>
    <row r="310" spans="1:25" x14ac:dyDescent="0.25">
      <c r="A310" s="126">
        <f t="shared" ref="A310:A315" si="53">A309+1</f>
        <v>44250</v>
      </c>
      <c r="B310" s="127">
        <f t="shared" si="51"/>
        <v>44250</v>
      </c>
      <c r="C310" s="131" t="str">
        <f>VLOOKUP(Y310,Intensiteettikoodi,2,1)</f>
        <v>Lepo</v>
      </c>
      <c r="D310" s="120"/>
      <c r="E310" s="144">
        <f>IF(E307&gt;0,ROUND(S310*X315,-1),VLOOKUP(Alkukysely!$E$4,Kevytkesto,3,1))</f>
        <v>0</v>
      </c>
      <c r="F310" s="139">
        <f ca="1">VLOOKUP(Y310,Intensiteettikoodi,3,1)*Harjoitusalueet!$C$5</f>
        <v>0</v>
      </c>
      <c r="G310" s="139">
        <f ca="1">VLOOKUP(Y310,Intensiteettikoodi,4,1)*Harjoitusalueet!$C$5</f>
        <v>0</v>
      </c>
      <c r="H310" s="140" t="e">
        <f t="shared" ca="1" si="52"/>
        <v>#DIV/0!</v>
      </c>
      <c r="I310" s="141" t="e">
        <f ca="1">TIME(0,0,((2.8/G310)^(1/3))*500)</f>
        <v>#DIV/0!</v>
      </c>
      <c r="R310" s="119"/>
      <c r="S310" s="51">
        <f>VLOOKUP(Alkukysely!$E$4,Keskikesto,3,1)</f>
        <v>50</v>
      </c>
      <c r="Y310">
        <f>IF(E307&gt;0,VLOOKUP(Alkukysely!$E$4,Intensiteettinumero,3,1),VLOOKUP(Alkukysely!$E$4,Kevytnum,3,1))</f>
        <v>0</v>
      </c>
    </row>
    <row r="311" spans="1:25" x14ac:dyDescent="0.25">
      <c r="A311" s="126">
        <f t="shared" si="53"/>
        <v>44251</v>
      </c>
      <c r="B311" s="127">
        <f t="shared" si="51"/>
        <v>44251</v>
      </c>
      <c r="C311" s="131" t="str">
        <f>IF(Y311=4,T311,VLOOKUP(Y311,Intensiteettikoodi,2,1))</f>
        <v>Peruskestävyys</v>
      </c>
      <c r="D311" s="120"/>
      <c r="E311" s="144">
        <f>IF(E307&gt;0,ROUND(S311*X315,-1),VLOOKUP(Alkukysely!$E$4,Kevytkesto,4,1))</f>
        <v>60</v>
      </c>
      <c r="F311" s="212">
        <f ca="1">IF(Alkukysely!$E$4&gt;1,VLOOKUP('Viikko-ohjelma'!A309,Kovat23,11,1),VLOOKUP(Y311,Intensiteettikoodi,3,1)*Harjoitusalueet!$C$5)</f>
        <v>0</v>
      </c>
      <c r="G311" s="212"/>
      <c r="H311" s="213" t="e">
        <f t="shared" ca="1" si="52"/>
        <v>#DIV/0!</v>
      </c>
      <c r="I311" s="214"/>
      <c r="R311" s="119"/>
      <c r="S311" s="51">
        <f>VLOOKUP(Alkukysely!$E$4,Keskikesto,4,1)</f>
        <v>62.5</v>
      </c>
      <c r="T311" t="str">
        <f>IF(Alkukysely!$E$4&gt;1,VLOOKUP('Viikko-ohjelma'!A309,Kovat23,8,1),C311)</f>
        <v>Peruskestävyys</v>
      </c>
      <c r="Y311">
        <f>IF(E307&gt;0,VLOOKUP(Alkukysely!$E$4,Intensiteettinumero,4,1),VLOOKUP(Alkukysely!$E$4,Kevytnum,4,1))</f>
        <v>2</v>
      </c>
    </row>
    <row r="312" spans="1:25" x14ac:dyDescent="0.25">
      <c r="A312" s="126">
        <f t="shared" si="53"/>
        <v>44252</v>
      </c>
      <c r="B312" s="127">
        <f t="shared" si="51"/>
        <v>44252</v>
      </c>
      <c r="C312" s="131" t="str">
        <f>VLOOKUP(Y312,Intensiteettikoodi,2,1)</f>
        <v>Lepo</v>
      </c>
      <c r="D312" s="120" t="str">
        <f>IF(AND(Alkukysely!$F$4&gt;2,E307&gt;0), "Puntti","-")</f>
        <v>-</v>
      </c>
      <c r="E312" s="144">
        <f>IF(E307&gt;0,ROUND(S312*X315,-1),VLOOKUP(Alkukysely!$E$4,Kevytkesto,5,1))</f>
        <v>0</v>
      </c>
      <c r="F312" s="139">
        <f ca="1">VLOOKUP(Y312,Intensiteettikoodi,3,1)*Harjoitusalueet!$C$5</f>
        <v>0</v>
      </c>
      <c r="G312" s="139">
        <f ca="1">VLOOKUP(Y312,Intensiteettikoodi,4,1)*Harjoitusalueet!$C$5</f>
        <v>0</v>
      </c>
      <c r="H312" s="140" t="e">
        <f t="shared" ca="1" si="52"/>
        <v>#DIV/0!</v>
      </c>
      <c r="I312" s="141" t="e">
        <f ca="1">TIME(0,0,((2.8/G312)^(1/3))*500)</f>
        <v>#DIV/0!</v>
      </c>
      <c r="R312" s="119"/>
      <c r="S312" s="51">
        <f>VLOOKUP(Alkukysely!$E$4,Keskikesto,5,1)</f>
        <v>0</v>
      </c>
      <c r="X312" s="46"/>
      <c r="Y312">
        <f>IF(E307&gt;0,VLOOKUP(Alkukysely!$E$4,Intensiteettinumero,5,1),VLOOKUP(Alkukysely!$E$4,Kevytnum,5,1))</f>
        <v>0</v>
      </c>
    </row>
    <row r="313" spans="1:25" x14ac:dyDescent="0.25">
      <c r="A313" s="126">
        <f t="shared" si="53"/>
        <v>44253</v>
      </c>
      <c r="B313" s="127">
        <f t="shared" si="51"/>
        <v>44253</v>
      </c>
      <c r="C313" s="131" t="str">
        <f>VLOOKUP(Y313,Intensiteettikoodi,2,1)</f>
        <v>Palauttava</v>
      </c>
      <c r="D313" s="120"/>
      <c r="E313" s="144">
        <f>IF(E307&gt;0,ROUND(S313*X315,-1),VLOOKUP(Alkukysely!$E$4,Kevytkesto,6,1))</f>
        <v>45</v>
      </c>
      <c r="F313" s="139">
        <f ca="1">VLOOKUP(Y313,Intensiteettikoodi,3,1)*Harjoitusalueet!$C$5</f>
        <v>0</v>
      </c>
      <c r="G313" s="139">
        <f ca="1">VLOOKUP(Y313,Intensiteettikoodi,4,1)*Harjoitusalueet!$C$5</f>
        <v>0</v>
      </c>
      <c r="H313" s="140" t="e">
        <f t="shared" ca="1" si="52"/>
        <v>#DIV/0!</v>
      </c>
      <c r="I313" s="141" t="e">
        <f ca="1">TIME(0,0,((2.8/G313)^(1/3))*500)</f>
        <v>#DIV/0!</v>
      </c>
      <c r="R313" s="119"/>
      <c r="S313" s="51">
        <f>VLOOKUP(Alkukysely!$E$4,Keskikesto,6,1)</f>
        <v>0</v>
      </c>
      <c r="X313" s="46"/>
      <c r="Y313">
        <f>IF(E307&gt;0,VLOOKUP(Alkukysely!$E$4,Intensiteettinumero,6,1),VLOOKUP(Alkukysely!$E$4,Kevytnum,6,1))</f>
        <v>1</v>
      </c>
    </row>
    <row r="314" spans="1:25" x14ac:dyDescent="0.25">
      <c r="A314" s="126">
        <f t="shared" si="53"/>
        <v>44254</v>
      </c>
      <c r="B314" s="127">
        <f t="shared" si="51"/>
        <v>44254</v>
      </c>
      <c r="C314" s="131" t="str">
        <f>IF(Y314=4,T314,VLOOKUP(Y314,Intensiteettikoodi,2,1))</f>
        <v>Lepo</v>
      </c>
      <c r="D314" s="120"/>
      <c r="E314" s="144">
        <f>IF(E307&gt;0,ROUND(S314*X315,-1),VLOOKUP(Alkukysely!$E$4,Kevytkesto,7,1))</f>
        <v>0</v>
      </c>
      <c r="F314" s="212">
        <f ca="1">IF(Alkukysely!$E$4&gt;1,VLOOKUP('Viikko-ohjelma'!A309,Kovat23,24,1),VLOOKUP(A309,Kovat1,11,1))</f>
        <v>0</v>
      </c>
      <c r="G314" s="212"/>
      <c r="H314" s="213" t="e">
        <f t="shared" ca="1" si="52"/>
        <v>#DIV/0!</v>
      </c>
      <c r="I314" s="214"/>
      <c r="R314" s="119"/>
      <c r="S314" s="51">
        <f>VLOOKUP(Alkukysely!$E$4,Keskikesto,7,1)</f>
        <v>67.5</v>
      </c>
      <c r="T314" t="str">
        <f>IF(Alkukysely!$E$4&gt;1,VLOOKUP('Viikko-ohjelma'!A309,Kovat23,21,1),VLOOKUP(A309,Kovat1,8,1))</f>
        <v>LEPO</v>
      </c>
      <c r="Y314">
        <f>IF(E307&gt;0,VLOOKUP(Alkukysely!$E$4,Intensiteettinumero,7,1),VLOOKUP(Alkukysely!$E$4,Kevytnum,7,1))</f>
        <v>0</v>
      </c>
    </row>
    <row r="315" spans="1:25" x14ac:dyDescent="0.25">
      <c r="A315" s="126">
        <f t="shared" si="53"/>
        <v>44255</v>
      </c>
      <c r="B315" s="127">
        <f t="shared" si="51"/>
        <v>44255</v>
      </c>
      <c r="C315" s="131" t="str">
        <f>VLOOKUP(Y315,Intensiteettikoodi,2,1)</f>
        <v>Pitkä peruskestävyys</v>
      </c>
      <c r="D315" s="120"/>
      <c r="E315" s="144">
        <f>IF(E307&gt;0,ROUND(S315*X315,-1),VLOOKUP(Alkukysely!$E$4,Kevytkesto,8,1))</f>
        <v>75</v>
      </c>
      <c r="F315" s="139">
        <f ca="1">VLOOKUP(Y315,Intensiteettikoodi,3,1)*Harjoitusalueet!$C$5</f>
        <v>0</v>
      </c>
      <c r="G315" s="139">
        <f ca="1">VLOOKUP(Y315,Intensiteettikoodi,4,1)*Harjoitusalueet!$C$5</f>
        <v>0</v>
      </c>
      <c r="H315" s="140" t="e">
        <f t="shared" ca="1" si="52"/>
        <v>#DIV/0!</v>
      </c>
      <c r="I315" s="141" t="e">
        <f ca="1">TIME(0,0,((2.8/G315)^(1/3))*500)</f>
        <v>#DIV/0!</v>
      </c>
      <c r="R315" s="119"/>
      <c r="S315" s="51">
        <f>VLOOKUP(Alkukysely!$E$4,Keskikesto,8,1)</f>
        <v>120</v>
      </c>
      <c r="V315">
        <f>VLOOKUP(A309,Kausisuunnitelma,7,1)</f>
        <v>3</v>
      </c>
      <c r="W315">
        <f>VLOOKUP(Alkukysely!$E$4,Keskikesto,10)</f>
        <v>5</v>
      </c>
      <c r="X315">
        <f>V315/W315</f>
        <v>0.6</v>
      </c>
      <c r="Y315">
        <f>IF(E307&gt;0,VLOOKUP(Alkukysely!$E$4,Intensiteettinumero,8,1),VLOOKUP(Alkukysely!$E$4,Kevytnum,8,1))</f>
        <v>3</v>
      </c>
    </row>
    <row r="316" spans="1:25" x14ac:dyDescent="0.25">
      <c r="A316" s="193" t="s">
        <v>207</v>
      </c>
      <c r="B316" s="194"/>
      <c r="C316" s="194"/>
      <c r="D316" s="194"/>
      <c r="E316" s="194"/>
      <c r="F316" s="195"/>
      <c r="G316" s="196" t="s">
        <v>208</v>
      </c>
      <c r="H316" s="197"/>
      <c r="I316" s="198"/>
    </row>
    <row r="317" spans="1:25" x14ac:dyDescent="0.25">
      <c r="A317" s="180" t="str">
        <f>C311</f>
        <v>Peruskestävyys</v>
      </c>
      <c r="B317" s="181"/>
      <c r="C317" s="181"/>
      <c r="D317" s="181"/>
      <c r="E317" s="181"/>
      <c r="F317" s="202"/>
      <c r="G317" s="199"/>
      <c r="H317" s="200"/>
      <c r="I317" s="201"/>
    </row>
    <row r="318" spans="1:25" x14ac:dyDescent="0.25">
      <c r="A318" s="184" t="str">
        <f>IF(Alkukysely!$E$4&gt;1,VLOOKUP(A309,Kovat23,34,1),"-")</f>
        <v>-</v>
      </c>
      <c r="B318" s="184"/>
      <c r="C318" s="184"/>
      <c r="D318" s="184"/>
      <c r="E318" s="184"/>
      <c r="F318" s="203"/>
      <c r="G318" s="183" t="str">
        <f>IF(Alkukysely!$E$4&gt;1,VLOOKUP(A309,Kovat23,35,1),"-")</f>
        <v>-</v>
      </c>
      <c r="H318" s="184"/>
      <c r="I318" s="185"/>
    </row>
    <row r="319" spans="1:25" x14ac:dyDescent="0.25">
      <c r="A319" s="184"/>
      <c r="B319" s="184"/>
      <c r="C319" s="184"/>
      <c r="D319" s="184"/>
      <c r="E319" s="184"/>
      <c r="F319" s="203"/>
      <c r="G319" s="183"/>
      <c r="H319" s="184"/>
      <c r="I319" s="185"/>
    </row>
    <row r="320" spans="1:25" ht="16.5" thickBot="1" x14ac:dyDescent="0.3">
      <c r="A320" s="204"/>
      <c r="B320" s="204"/>
      <c r="C320" s="204"/>
      <c r="D320" s="204"/>
      <c r="E320" s="204"/>
      <c r="F320" s="205"/>
      <c r="G320" s="206"/>
      <c r="H320" s="207"/>
      <c r="I320" s="208"/>
    </row>
    <row r="321" spans="1:25" ht="17.25" thickTop="1" thickBot="1" x14ac:dyDescent="0.3">
      <c r="A321" s="180" t="str">
        <f>C314</f>
        <v>Lepo</v>
      </c>
      <c r="B321" s="181"/>
      <c r="C321" s="181"/>
      <c r="D321" s="181"/>
      <c r="E321" s="181"/>
      <c r="F321" s="182"/>
      <c r="G321" s="183">
        <f>IF(Alkukysely!$E$4&gt;1,VLOOKUP(A309,Kovat23,37,1),VLOOKUP(A309,Kovat1,35,1))</f>
        <v>0</v>
      </c>
      <c r="H321" s="184"/>
      <c r="I321" s="185"/>
    </row>
    <row r="322" spans="1:25" ht="17.25" thickTop="1" thickBot="1" x14ac:dyDescent="0.3">
      <c r="A322" s="189">
        <f>IF(Alkukysely!$E$4&gt;1,VLOOKUP(A309,Kovat23,36,1),VLOOKUP(A309,Kovat1,34,1))</f>
        <v>0</v>
      </c>
      <c r="B322" s="190"/>
      <c r="C322" s="190"/>
      <c r="D322" s="190"/>
      <c r="E322" s="190"/>
      <c r="F322" s="190"/>
      <c r="G322" s="183"/>
      <c r="H322" s="184"/>
      <c r="I322" s="185"/>
    </row>
    <row r="323" spans="1:25" ht="17.25" thickTop="1" thickBot="1" x14ac:dyDescent="0.3">
      <c r="A323" s="189"/>
      <c r="B323" s="190"/>
      <c r="C323" s="190"/>
      <c r="D323" s="190"/>
      <c r="E323" s="190"/>
      <c r="F323" s="190"/>
      <c r="G323" s="183"/>
      <c r="H323" s="184"/>
      <c r="I323" s="185"/>
    </row>
    <row r="324" spans="1:25" ht="17.25" thickTop="1" thickBot="1" x14ac:dyDescent="0.3">
      <c r="A324" s="191"/>
      <c r="B324" s="192"/>
      <c r="C324" s="192"/>
      <c r="D324" s="192"/>
      <c r="E324" s="192"/>
      <c r="F324" s="192"/>
      <c r="G324" s="186"/>
      <c r="H324" s="187"/>
      <c r="I324" s="188"/>
    </row>
    <row r="325" spans="1:25" x14ac:dyDescent="0.25">
      <c r="A325" s="145" t="str">
        <f>VLOOKUP(A327,Kausisuunnitelma,5,1)</f>
        <v>Kova 1</v>
      </c>
      <c r="B325" s="147" t="s">
        <v>108</v>
      </c>
      <c r="C325" s="146" t="str">
        <f>VLOOKUP(A327,Kausisuunnitelma,3,1)</f>
        <v>Anaerobinen kynnys</v>
      </c>
      <c r="D325" s="124"/>
      <c r="E325" s="147">
        <f>VLOOKUP(A327,Kausisuunnitelma,6,1)</f>
        <v>1</v>
      </c>
      <c r="F325" s="209" t="s">
        <v>209</v>
      </c>
      <c r="G325" s="209"/>
      <c r="H325" s="210" t="s">
        <v>210</v>
      </c>
      <c r="I325" s="211"/>
      <c r="U325" s="118"/>
      <c r="V325" s="118"/>
    </row>
    <row r="326" spans="1:25" ht="48" thickBot="1" x14ac:dyDescent="0.3">
      <c r="A326" s="125" t="s">
        <v>107</v>
      </c>
      <c r="B326" s="128">
        <f>WEEKNUM(A327,21)</f>
        <v>9</v>
      </c>
      <c r="C326" s="130" t="s">
        <v>70</v>
      </c>
      <c r="D326" s="129" t="s">
        <v>71</v>
      </c>
      <c r="E326" s="142" t="s">
        <v>159</v>
      </c>
      <c r="F326" s="121" t="s">
        <v>12</v>
      </c>
      <c r="G326" s="121" t="s">
        <v>13</v>
      </c>
      <c r="H326" s="122" t="s">
        <v>12</v>
      </c>
      <c r="I326" s="123" t="s">
        <v>13</v>
      </c>
      <c r="J326" s="2"/>
      <c r="K326" s="2"/>
      <c r="L326" s="2"/>
      <c r="M326" s="2"/>
      <c r="N326" s="2"/>
      <c r="O326" s="2"/>
      <c r="P326" s="2"/>
      <c r="Q326" s="2"/>
      <c r="R326" s="2"/>
      <c r="S326" s="2"/>
      <c r="T326" s="2" t="s">
        <v>160</v>
      </c>
    </row>
    <row r="327" spans="1:25" x14ac:dyDescent="0.25">
      <c r="A327" s="132">
        <f>A315+1</f>
        <v>44256</v>
      </c>
      <c r="B327" s="133">
        <f t="shared" ref="B327:B333" si="54">A327</f>
        <v>44256</v>
      </c>
      <c r="C327" s="134" t="str">
        <f>VLOOKUP(Y327,Intensiteettikoodi,2,1)</f>
        <v>Lepo</v>
      </c>
      <c r="D327" s="135" t="str">
        <f>IF(Alkukysely!$F$4&gt;1, "Puntti","-")</f>
        <v>-</v>
      </c>
      <c r="E327" s="143">
        <f>IF(E325&gt;0,ROUND(S327*X333,-1),VLOOKUP(Alkukysely!$E$4,Kevytkesto,2,1))</f>
        <v>0</v>
      </c>
      <c r="F327" s="136">
        <f ca="1">VLOOKUP(Y327,Intensiteettikoodi,3,1)*Harjoitusalueet!$C$5</f>
        <v>0</v>
      </c>
      <c r="G327" s="136">
        <f ca="1">VLOOKUP(Y327,Intensiteettikoodi,4,1)*Harjoitusalueet!$C$5</f>
        <v>0</v>
      </c>
      <c r="H327" s="137" t="e">
        <f t="shared" ref="H327:H333" ca="1" si="55">TIME(0,0,((2.8/F327)^(1/3))*500)</f>
        <v>#DIV/0!</v>
      </c>
      <c r="I327" s="138" t="e">
        <f ca="1">TIME(0,0,((2.8/G327)^(1/3))*500)</f>
        <v>#DIV/0!</v>
      </c>
      <c r="R327" s="119"/>
      <c r="S327" s="51">
        <f>VLOOKUP(Alkukysely!$E$4,Keskikesto,2,1)</f>
        <v>0</v>
      </c>
      <c r="Y327">
        <f>IF(E325&gt;0,VLOOKUP(Alkukysely!$E$4,Intensiteettinumero,2,1),VLOOKUP(Alkukysely!$E$4,Kevytnum,2,1))</f>
        <v>0</v>
      </c>
    </row>
    <row r="328" spans="1:25" x14ac:dyDescent="0.25">
      <c r="A328" s="126">
        <f t="shared" ref="A328:A333" si="56">A327+1</f>
        <v>44257</v>
      </c>
      <c r="B328" s="127">
        <f t="shared" si="54"/>
        <v>44257</v>
      </c>
      <c r="C328" s="131" t="str">
        <f>VLOOKUP(Y328,Intensiteettikoodi,2,1)</f>
        <v>Peruskestävyys</v>
      </c>
      <c r="D328" s="120"/>
      <c r="E328" s="144">
        <f>IF(E325&gt;0,ROUND(S328*X333,-1),VLOOKUP(Alkukysely!$E$4,Kevytkesto,3,1))</f>
        <v>60</v>
      </c>
      <c r="F328" s="139">
        <f ca="1">VLOOKUP(Y328,Intensiteettikoodi,3,1)*Harjoitusalueet!$C$5</f>
        <v>0</v>
      </c>
      <c r="G328" s="139">
        <f ca="1">VLOOKUP(Y328,Intensiteettikoodi,4,1)*Harjoitusalueet!$C$5</f>
        <v>0</v>
      </c>
      <c r="H328" s="140" t="e">
        <f t="shared" ca="1" si="55"/>
        <v>#DIV/0!</v>
      </c>
      <c r="I328" s="141" t="e">
        <f ca="1">TIME(0,0,((2.8/G328)^(1/3))*500)</f>
        <v>#DIV/0!</v>
      </c>
      <c r="R328" s="119"/>
      <c r="S328" s="51">
        <f>VLOOKUP(Alkukysely!$E$4,Keskikesto,3,1)</f>
        <v>50</v>
      </c>
      <c r="Y328">
        <f>IF(E325&gt;0,VLOOKUP(Alkukysely!$E$4,Intensiteettinumero,3,1),VLOOKUP(Alkukysely!$E$4,Kevytnum,3,1))</f>
        <v>2</v>
      </c>
    </row>
    <row r="329" spans="1:25" x14ac:dyDescent="0.25">
      <c r="A329" s="126">
        <f t="shared" si="56"/>
        <v>44258</v>
      </c>
      <c r="B329" s="127">
        <f t="shared" si="54"/>
        <v>44258</v>
      </c>
      <c r="C329" s="131" t="str">
        <f>IF(Y329=4,T329,VLOOKUP(Y329,Intensiteettikoodi,2,1))</f>
        <v>Peruskestävyys</v>
      </c>
      <c r="D329" s="120"/>
      <c r="E329" s="144">
        <f>IF(E325&gt;0,ROUND(S329*X333,-1),VLOOKUP(Alkukysely!$E$4,Kevytkesto,4,1))</f>
        <v>70</v>
      </c>
      <c r="F329" s="212">
        <f ca="1">IF(Alkukysely!$E$4&gt;1,VLOOKUP('Viikko-ohjelma'!A327,Kovat23,11,1),VLOOKUP(Y329,Intensiteettikoodi,3,1)*Harjoitusalueet!$C$5)</f>
        <v>0</v>
      </c>
      <c r="G329" s="212"/>
      <c r="H329" s="213" t="e">
        <f t="shared" ca="1" si="55"/>
        <v>#DIV/0!</v>
      </c>
      <c r="I329" s="214"/>
      <c r="R329" s="119"/>
      <c r="S329" s="51">
        <f>VLOOKUP(Alkukysely!$E$4,Keskikesto,4,1)</f>
        <v>62.5</v>
      </c>
      <c r="T329" t="str">
        <f>IF(Alkukysely!$E$4&gt;1,VLOOKUP('Viikko-ohjelma'!A327,Kovat23,8,1),C329)</f>
        <v>Peruskestävyys</v>
      </c>
      <c r="Y329">
        <f>IF(E325&gt;0,VLOOKUP(Alkukysely!$E$4,Intensiteettinumero,4,1),VLOOKUP(Alkukysely!$E$4,Kevytnum,4,1))</f>
        <v>2</v>
      </c>
    </row>
    <row r="330" spans="1:25" x14ac:dyDescent="0.25">
      <c r="A330" s="126">
        <f t="shared" si="56"/>
        <v>44259</v>
      </c>
      <c r="B330" s="127">
        <f t="shared" si="54"/>
        <v>44259</v>
      </c>
      <c r="C330" s="131" t="str">
        <f>VLOOKUP(Y330,Intensiteettikoodi,2,1)</f>
        <v>Lepo</v>
      </c>
      <c r="D330" s="120" t="str">
        <f>IF(AND(Alkukysely!$F$4&gt;2,E325&gt;0), "Puntti","-")</f>
        <v>-</v>
      </c>
      <c r="E330" s="144">
        <f>IF(E325&gt;0,ROUND(S330*X333,-1),VLOOKUP(Alkukysely!$E$4,Kevytkesto,5,1))</f>
        <v>0</v>
      </c>
      <c r="F330" s="139">
        <f ca="1">VLOOKUP(Y330,Intensiteettikoodi,3,1)*Harjoitusalueet!$C$5</f>
        <v>0</v>
      </c>
      <c r="G330" s="139">
        <f ca="1">VLOOKUP(Y330,Intensiteettikoodi,4,1)*Harjoitusalueet!$C$5</f>
        <v>0</v>
      </c>
      <c r="H330" s="140" t="e">
        <f t="shared" ca="1" si="55"/>
        <v>#DIV/0!</v>
      </c>
      <c r="I330" s="141" t="e">
        <f ca="1">TIME(0,0,((2.8/G330)^(1/3))*500)</f>
        <v>#DIV/0!</v>
      </c>
      <c r="R330" s="119"/>
      <c r="S330" s="51">
        <f>VLOOKUP(Alkukysely!$E$4,Keskikesto,5,1)</f>
        <v>0</v>
      </c>
      <c r="X330" s="46"/>
      <c r="Y330">
        <f>IF(E325&gt;0,VLOOKUP(Alkukysely!$E$4,Intensiteettinumero,5,1),VLOOKUP(Alkukysely!$E$4,Kevytnum,5,1))</f>
        <v>0</v>
      </c>
    </row>
    <row r="331" spans="1:25" x14ac:dyDescent="0.25">
      <c r="A331" s="126">
        <f t="shared" si="56"/>
        <v>44260</v>
      </c>
      <c r="B331" s="127">
        <f t="shared" si="54"/>
        <v>44260</v>
      </c>
      <c r="C331" s="131" t="str">
        <f>VLOOKUP(Y331,Intensiteettikoodi,2,1)</f>
        <v>Lepo</v>
      </c>
      <c r="D331" s="120"/>
      <c r="E331" s="144">
        <f>IF(E325&gt;0,ROUND(S331*X333,-1),VLOOKUP(Alkukysely!$E$4,Kevytkesto,6,1))</f>
        <v>0</v>
      </c>
      <c r="F331" s="139">
        <f ca="1">VLOOKUP(Y331,Intensiteettikoodi,3,1)*Harjoitusalueet!$C$5</f>
        <v>0</v>
      </c>
      <c r="G331" s="139">
        <f ca="1">VLOOKUP(Y331,Intensiteettikoodi,4,1)*Harjoitusalueet!$C$5</f>
        <v>0</v>
      </c>
      <c r="H331" s="140" t="e">
        <f t="shared" ca="1" si="55"/>
        <v>#DIV/0!</v>
      </c>
      <c r="I331" s="141" t="e">
        <f ca="1">TIME(0,0,((2.8/G331)^(1/3))*500)</f>
        <v>#DIV/0!</v>
      </c>
      <c r="R331" s="119"/>
      <c r="S331" s="51">
        <f>VLOOKUP(Alkukysely!$E$4,Keskikesto,6,1)</f>
        <v>0</v>
      </c>
      <c r="X331" s="46"/>
      <c r="Y331">
        <f>IF(E325&gt;0,VLOOKUP(Alkukysely!$E$4,Intensiteettinumero,6,1),VLOOKUP(Alkukysely!$E$4,Kevytnum,6,1))</f>
        <v>0</v>
      </c>
    </row>
    <row r="332" spans="1:25" x14ac:dyDescent="0.25">
      <c r="A332" s="126">
        <f t="shared" si="56"/>
        <v>44261</v>
      </c>
      <c r="B332" s="127">
        <f t="shared" si="54"/>
        <v>44261</v>
      </c>
      <c r="C332" s="131" t="str">
        <f>IF(Y332=4,T332,VLOOKUP(Y332,Intensiteettikoodi,2,1))</f>
        <v>10x5min/2min</v>
      </c>
      <c r="D332" s="120"/>
      <c r="E332" s="144">
        <f>IF(E325&gt;0,ROUND(S332*X333,-1),VLOOKUP(Alkukysely!$E$4,Kevytkesto,7,1))</f>
        <v>80</v>
      </c>
      <c r="F332" s="212">
        <f ca="1">IF(Alkukysely!$E$4&gt;1,VLOOKUP('Viikko-ohjelma'!A327,Kovat23,24,1),VLOOKUP(A327,Kovat1,11,1))</f>
        <v>0</v>
      </c>
      <c r="G332" s="212"/>
      <c r="H332" s="213" t="e">
        <f t="shared" ca="1" si="55"/>
        <v>#DIV/0!</v>
      </c>
      <c r="I332" s="214"/>
      <c r="R332" s="119"/>
      <c r="S332" s="51">
        <f>VLOOKUP(Alkukysely!$E$4,Keskikesto,7,1)</f>
        <v>67.5</v>
      </c>
      <c r="T332" t="str">
        <f>IF(Alkukysely!$E$4&gt;1,VLOOKUP('Viikko-ohjelma'!A327,Kovat23,21,1),VLOOKUP(A327,Kovat1,8,1))</f>
        <v>10x5min/2min</v>
      </c>
      <c r="Y332">
        <f>IF(E325&gt;0,VLOOKUP(Alkukysely!$E$4,Intensiteettinumero,7,1),VLOOKUP(Alkukysely!$E$4,Kevytnum,7,1))</f>
        <v>4</v>
      </c>
    </row>
    <row r="333" spans="1:25" x14ac:dyDescent="0.25">
      <c r="A333" s="126">
        <f t="shared" si="56"/>
        <v>44262</v>
      </c>
      <c r="B333" s="127">
        <f t="shared" si="54"/>
        <v>44262</v>
      </c>
      <c r="C333" s="131" t="str">
        <f>VLOOKUP(Y333,Intensiteettikoodi,2,1)</f>
        <v>Pitkä peruskestävyys</v>
      </c>
      <c r="D333" s="120"/>
      <c r="E333" s="144">
        <f>IF(E325&gt;0,ROUND(S333*X333,-1),VLOOKUP(Alkukysely!$E$4,Kevytkesto,8,1))</f>
        <v>130</v>
      </c>
      <c r="F333" s="139">
        <f ca="1">VLOOKUP(Y333,Intensiteettikoodi,3,1)*Harjoitusalueet!$C$5</f>
        <v>0</v>
      </c>
      <c r="G333" s="139">
        <f ca="1">VLOOKUP(Y333,Intensiteettikoodi,4,1)*Harjoitusalueet!$C$5</f>
        <v>0</v>
      </c>
      <c r="H333" s="140" t="e">
        <f t="shared" ca="1" si="55"/>
        <v>#DIV/0!</v>
      </c>
      <c r="I333" s="141" t="e">
        <f ca="1">TIME(0,0,((2.8/G333)^(1/3))*500)</f>
        <v>#DIV/0!</v>
      </c>
      <c r="R333" s="119"/>
      <c r="S333" s="51">
        <f>VLOOKUP(Alkukysely!$E$4,Keskikesto,8,1)</f>
        <v>120</v>
      </c>
      <c r="V333">
        <f>VLOOKUP(A327,Kausisuunnitelma,7,1)</f>
        <v>5.6000000000000005</v>
      </c>
      <c r="W333">
        <f>VLOOKUP(Alkukysely!$E$4,Keskikesto,10)</f>
        <v>5</v>
      </c>
      <c r="X333">
        <f>V333/W333</f>
        <v>1.1200000000000001</v>
      </c>
      <c r="Y333">
        <f>IF(E325&gt;0,VLOOKUP(Alkukysely!$E$4,Intensiteettinumero,8,1),VLOOKUP(Alkukysely!$E$4,Kevytnum,8,1))</f>
        <v>3</v>
      </c>
    </row>
    <row r="334" spans="1:25" x14ac:dyDescent="0.25">
      <c r="A334" s="193" t="s">
        <v>207</v>
      </c>
      <c r="B334" s="194"/>
      <c r="C334" s="194"/>
      <c r="D334" s="194"/>
      <c r="E334" s="194"/>
      <c r="F334" s="195"/>
      <c r="G334" s="196" t="s">
        <v>208</v>
      </c>
      <c r="H334" s="197"/>
      <c r="I334" s="198"/>
    </row>
    <row r="335" spans="1:25" x14ac:dyDescent="0.25">
      <c r="A335" s="180" t="str">
        <f>C329</f>
        <v>Peruskestävyys</v>
      </c>
      <c r="B335" s="181"/>
      <c r="C335" s="181"/>
      <c r="D335" s="181"/>
      <c r="E335" s="181"/>
      <c r="F335" s="202"/>
      <c r="G335" s="199"/>
      <c r="H335" s="200"/>
      <c r="I335" s="201"/>
    </row>
    <row r="336" spans="1:25" x14ac:dyDescent="0.25">
      <c r="A336" s="184" t="str">
        <f>IF(Alkukysely!$E$4&gt;1,VLOOKUP(A327,Kovat23,34,1),"-")</f>
        <v>-</v>
      </c>
      <c r="B336" s="184"/>
      <c r="C336" s="184"/>
      <c r="D336" s="184"/>
      <c r="E336" s="184"/>
      <c r="F336" s="203"/>
      <c r="G336" s="183" t="str">
        <f>IF(Alkukysely!$E$4&gt;1,VLOOKUP(A327,Kovat23,35,1),"-")</f>
        <v>-</v>
      </c>
      <c r="H336" s="184"/>
      <c r="I336" s="185"/>
    </row>
    <row r="337" spans="1:25" x14ac:dyDescent="0.25">
      <c r="A337" s="184"/>
      <c r="B337" s="184"/>
      <c r="C337" s="184"/>
      <c r="D337" s="184"/>
      <c r="E337" s="184"/>
      <c r="F337" s="203"/>
      <c r="G337" s="183"/>
      <c r="H337" s="184"/>
      <c r="I337" s="185"/>
    </row>
    <row r="338" spans="1:25" ht="16.5" thickBot="1" x14ac:dyDescent="0.3">
      <c r="A338" s="204"/>
      <c r="B338" s="204"/>
      <c r="C338" s="204"/>
      <c r="D338" s="204"/>
      <c r="E338" s="204"/>
      <c r="F338" s="205"/>
      <c r="G338" s="206"/>
      <c r="H338" s="207"/>
      <c r="I338" s="208"/>
    </row>
    <row r="339" spans="1:25" ht="17.25" thickTop="1" thickBot="1" x14ac:dyDescent="0.3">
      <c r="A339" s="180" t="str">
        <f>C332</f>
        <v>10x5min/2min</v>
      </c>
      <c r="B339" s="181"/>
      <c r="C339" s="181"/>
      <c r="D339" s="181"/>
      <c r="E339" s="181"/>
      <c r="F339" s="182"/>
      <c r="G339" s="183" t="str">
        <f>IF(Alkukysely!$E$4&gt;1,VLOOKUP(A327,Kovat23,37,1),VLOOKUP(A327,Kovat1,35,1))</f>
        <v>15 min. alkulämppä + 10 min. loppujäähdyttely</v>
      </c>
      <c r="H339" s="184"/>
      <c r="I339" s="185"/>
    </row>
    <row r="340" spans="1:25" ht="17.25" thickTop="1" thickBot="1" x14ac:dyDescent="0.3">
      <c r="A340" s="189" t="str">
        <f>IF(Alkukysely!$E$4&gt;1,VLOOKUP(A327,Kovat23,36,1),VLOOKUP(A327,Kovat1,34,1))</f>
        <v>Sarjojen pituus pysyy samana, jos pystyt voit tähdätä kovempaan keskivauhtiin/tehoon</v>
      </c>
      <c r="B340" s="190"/>
      <c r="C340" s="190"/>
      <c r="D340" s="190"/>
      <c r="E340" s="190"/>
      <c r="F340" s="190"/>
      <c r="G340" s="183"/>
      <c r="H340" s="184"/>
      <c r="I340" s="185"/>
    </row>
    <row r="341" spans="1:25" ht="17.25" thickTop="1" thickBot="1" x14ac:dyDescent="0.3">
      <c r="A341" s="189"/>
      <c r="B341" s="190"/>
      <c r="C341" s="190"/>
      <c r="D341" s="190"/>
      <c r="E341" s="190"/>
      <c r="F341" s="190"/>
      <c r="G341" s="183"/>
      <c r="H341" s="184"/>
      <c r="I341" s="185"/>
    </row>
    <row r="342" spans="1:25" ht="29.25" customHeight="1" thickTop="1" thickBot="1" x14ac:dyDescent="0.3">
      <c r="A342" s="191"/>
      <c r="B342" s="192"/>
      <c r="C342" s="192"/>
      <c r="D342" s="192"/>
      <c r="E342" s="192"/>
      <c r="F342" s="192"/>
      <c r="G342" s="186"/>
      <c r="H342" s="187"/>
      <c r="I342" s="188"/>
    </row>
    <row r="343" spans="1:25" x14ac:dyDescent="0.25">
      <c r="A343" s="145" t="str">
        <f>VLOOKUP(A345,Kausisuunnitelma,5,1)</f>
        <v>Kova 2</v>
      </c>
      <c r="B343" s="147" t="s">
        <v>108</v>
      </c>
      <c r="C343" s="146" t="str">
        <f>VLOOKUP(A345,Kausisuunnitelma,3,1)</f>
        <v>Anaerobinen kynnys</v>
      </c>
      <c r="D343" s="124"/>
      <c r="E343" s="147">
        <f>VLOOKUP(A345,Kausisuunnitelma,6,1)</f>
        <v>2</v>
      </c>
      <c r="F343" s="209" t="s">
        <v>209</v>
      </c>
      <c r="G343" s="209"/>
      <c r="H343" s="210" t="s">
        <v>210</v>
      </c>
      <c r="I343" s="211"/>
      <c r="U343" s="118"/>
      <c r="V343" s="118"/>
    </row>
    <row r="344" spans="1:25" ht="48" thickBot="1" x14ac:dyDescent="0.3">
      <c r="A344" s="125" t="s">
        <v>107</v>
      </c>
      <c r="B344" s="128">
        <f>WEEKNUM(A345,21)</f>
        <v>10</v>
      </c>
      <c r="C344" s="130" t="s">
        <v>70</v>
      </c>
      <c r="D344" s="129" t="s">
        <v>71</v>
      </c>
      <c r="E344" s="142" t="s">
        <v>159</v>
      </c>
      <c r="F344" s="121" t="s">
        <v>12</v>
      </c>
      <c r="G344" s="121" t="s">
        <v>13</v>
      </c>
      <c r="H344" s="122" t="s">
        <v>12</v>
      </c>
      <c r="I344" s="123" t="s">
        <v>13</v>
      </c>
      <c r="J344" s="2"/>
      <c r="K344" s="2"/>
      <c r="L344" s="2"/>
      <c r="M344" s="2"/>
      <c r="N344" s="2"/>
      <c r="O344" s="2"/>
      <c r="P344" s="2"/>
      <c r="Q344" s="2"/>
      <c r="R344" s="2"/>
      <c r="S344" s="2"/>
      <c r="T344" s="2" t="s">
        <v>160</v>
      </c>
    </row>
    <row r="345" spans="1:25" x14ac:dyDescent="0.25">
      <c r="A345" s="132">
        <f>A333+1</f>
        <v>44263</v>
      </c>
      <c r="B345" s="133">
        <f t="shared" ref="B345:B351" si="57">A345</f>
        <v>44263</v>
      </c>
      <c r="C345" s="134" t="str">
        <f>VLOOKUP(Y345,Intensiteettikoodi,2,1)</f>
        <v>Lepo</v>
      </c>
      <c r="D345" s="135" t="str">
        <f>IF(Alkukysely!$F$4&gt;1, "Puntti","-")</f>
        <v>-</v>
      </c>
      <c r="E345" s="143">
        <f>IF(E343&gt;0,ROUND(S345*X351,-1),VLOOKUP(Alkukysely!$E$4,Kevytkesto,2,1))</f>
        <v>0</v>
      </c>
      <c r="F345" s="136">
        <f ca="1">VLOOKUP(Y345,Intensiteettikoodi,3,1)*Harjoitusalueet!$C$5</f>
        <v>0</v>
      </c>
      <c r="G345" s="136">
        <f ca="1">VLOOKUP(Y345,Intensiteettikoodi,4,1)*Harjoitusalueet!$C$5</f>
        <v>0</v>
      </c>
      <c r="H345" s="137" t="e">
        <f t="shared" ref="H345:H351" ca="1" si="58">TIME(0,0,((2.8/F345)^(1/3))*500)</f>
        <v>#DIV/0!</v>
      </c>
      <c r="I345" s="138" t="e">
        <f ca="1">TIME(0,0,((2.8/G345)^(1/3))*500)</f>
        <v>#DIV/0!</v>
      </c>
      <c r="R345" s="119"/>
      <c r="S345" s="51">
        <f>VLOOKUP(Alkukysely!$E$4,Keskikesto,2,1)</f>
        <v>0</v>
      </c>
      <c r="Y345">
        <f>IF(E343&gt;0,VLOOKUP(Alkukysely!$E$4,Intensiteettinumero,2,1),VLOOKUP(Alkukysely!$E$4,Kevytnum,2,1))</f>
        <v>0</v>
      </c>
    </row>
    <row r="346" spans="1:25" x14ac:dyDescent="0.25">
      <c r="A346" s="126">
        <f t="shared" ref="A346:A351" si="59">A345+1</f>
        <v>44264</v>
      </c>
      <c r="B346" s="127">
        <f t="shared" si="57"/>
        <v>44264</v>
      </c>
      <c r="C346" s="131" t="str">
        <f>VLOOKUP(Y346,Intensiteettikoodi,2,1)</f>
        <v>Peruskestävyys</v>
      </c>
      <c r="D346" s="120"/>
      <c r="E346" s="144">
        <f>IF(E343&gt;0,ROUND(S346*X351,-1),VLOOKUP(Alkukysely!$E$4,Kevytkesto,3,1))</f>
        <v>60</v>
      </c>
      <c r="F346" s="139">
        <f ca="1">VLOOKUP(Y346,Intensiteettikoodi,3,1)*Harjoitusalueet!$C$5</f>
        <v>0</v>
      </c>
      <c r="G346" s="139">
        <f ca="1">VLOOKUP(Y346,Intensiteettikoodi,4,1)*Harjoitusalueet!$C$5</f>
        <v>0</v>
      </c>
      <c r="H346" s="140" t="e">
        <f t="shared" ca="1" si="58"/>
        <v>#DIV/0!</v>
      </c>
      <c r="I346" s="141" t="e">
        <f ca="1">TIME(0,0,((2.8/G346)^(1/3))*500)</f>
        <v>#DIV/0!</v>
      </c>
      <c r="R346" s="119"/>
      <c r="S346" s="51">
        <f>VLOOKUP(Alkukysely!$E$4,Keskikesto,3,1)</f>
        <v>50</v>
      </c>
      <c r="Y346">
        <f>IF(E343&gt;0,VLOOKUP(Alkukysely!$E$4,Intensiteettinumero,3,1),VLOOKUP(Alkukysely!$E$4,Kevytnum,3,1))</f>
        <v>2</v>
      </c>
    </row>
    <row r="347" spans="1:25" x14ac:dyDescent="0.25">
      <c r="A347" s="126">
        <f t="shared" si="59"/>
        <v>44265</v>
      </c>
      <c r="B347" s="127">
        <f t="shared" si="57"/>
        <v>44265</v>
      </c>
      <c r="C347" s="131" t="str">
        <f>IF(Y347=4,T347,VLOOKUP(Y347,Intensiteettikoodi,2,1))</f>
        <v>Peruskestävyys</v>
      </c>
      <c r="D347" s="120"/>
      <c r="E347" s="144">
        <f>IF(E343&gt;0,ROUND(S347*X351,-1),VLOOKUP(Alkukysely!$E$4,Kevytkesto,4,1))</f>
        <v>80</v>
      </c>
      <c r="F347" s="212">
        <f ca="1">IF(Alkukysely!$E$4&gt;1,VLOOKUP('Viikko-ohjelma'!A345,Kovat23,11,1),VLOOKUP(Y347,Intensiteettikoodi,3,1)*Harjoitusalueet!$C$5)</f>
        <v>0</v>
      </c>
      <c r="G347" s="212"/>
      <c r="H347" s="213" t="e">
        <f t="shared" ca="1" si="58"/>
        <v>#DIV/0!</v>
      </c>
      <c r="I347" s="214"/>
      <c r="R347" s="119"/>
      <c r="S347" s="51">
        <f>VLOOKUP(Alkukysely!$E$4,Keskikesto,4,1)</f>
        <v>62.5</v>
      </c>
      <c r="T347" t="str">
        <f>IF(Alkukysely!$E$4&gt;1,VLOOKUP('Viikko-ohjelma'!A345,Kovat23,8,1),C347)</f>
        <v>Peruskestävyys</v>
      </c>
      <c r="Y347">
        <f>IF(E343&gt;0,VLOOKUP(Alkukysely!$E$4,Intensiteettinumero,4,1),VLOOKUP(Alkukysely!$E$4,Kevytnum,4,1))</f>
        <v>2</v>
      </c>
    </row>
    <row r="348" spans="1:25" x14ac:dyDescent="0.25">
      <c r="A348" s="126">
        <f t="shared" si="59"/>
        <v>44266</v>
      </c>
      <c r="B348" s="127">
        <f t="shared" si="57"/>
        <v>44266</v>
      </c>
      <c r="C348" s="131" t="str">
        <f>VLOOKUP(Y348,Intensiteettikoodi,2,1)</f>
        <v>Lepo</v>
      </c>
      <c r="D348" s="120" t="str">
        <f>IF(AND(Alkukysely!$F$4&gt;2,E343&gt;0), "Puntti","-")</f>
        <v>-</v>
      </c>
      <c r="E348" s="144">
        <f>IF(E343&gt;0,ROUND(S348*X351,-1),VLOOKUP(Alkukysely!$E$4,Kevytkesto,5,1))</f>
        <v>0</v>
      </c>
      <c r="F348" s="139">
        <f ca="1">VLOOKUP(Y348,Intensiteettikoodi,3,1)*Harjoitusalueet!$C$5</f>
        <v>0</v>
      </c>
      <c r="G348" s="139">
        <f ca="1">VLOOKUP(Y348,Intensiteettikoodi,4,1)*Harjoitusalueet!$C$5</f>
        <v>0</v>
      </c>
      <c r="H348" s="140" t="e">
        <f t="shared" ca="1" si="58"/>
        <v>#DIV/0!</v>
      </c>
      <c r="I348" s="141" t="e">
        <f ca="1">TIME(0,0,((2.8/G348)^(1/3))*500)</f>
        <v>#DIV/0!</v>
      </c>
      <c r="R348" s="119"/>
      <c r="S348" s="51">
        <f>VLOOKUP(Alkukysely!$E$4,Keskikesto,5,1)</f>
        <v>0</v>
      </c>
      <c r="X348" s="46"/>
      <c r="Y348">
        <f>IF(E343&gt;0,VLOOKUP(Alkukysely!$E$4,Intensiteettinumero,5,1),VLOOKUP(Alkukysely!$E$4,Kevytnum,5,1))</f>
        <v>0</v>
      </c>
    </row>
    <row r="349" spans="1:25" x14ac:dyDescent="0.25">
      <c r="A349" s="126">
        <f t="shared" si="59"/>
        <v>44267</v>
      </c>
      <c r="B349" s="127">
        <f t="shared" si="57"/>
        <v>44267</v>
      </c>
      <c r="C349" s="131" t="str">
        <f>VLOOKUP(Y349,Intensiteettikoodi,2,1)</f>
        <v>Lepo</v>
      </c>
      <c r="D349" s="120"/>
      <c r="E349" s="144">
        <f>IF(E343&gt;0,ROUND(S349*X351,-1),VLOOKUP(Alkukysely!$E$4,Kevytkesto,6,1))</f>
        <v>0</v>
      </c>
      <c r="F349" s="139">
        <f ca="1">VLOOKUP(Y349,Intensiteettikoodi,3,1)*Harjoitusalueet!$C$5</f>
        <v>0</v>
      </c>
      <c r="G349" s="139">
        <f ca="1">VLOOKUP(Y349,Intensiteettikoodi,4,1)*Harjoitusalueet!$C$5</f>
        <v>0</v>
      </c>
      <c r="H349" s="140" t="e">
        <f t="shared" ca="1" si="58"/>
        <v>#DIV/0!</v>
      </c>
      <c r="I349" s="141" t="e">
        <f ca="1">TIME(0,0,((2.8/G349)^(1/3))*500)</f>
        <v>#DIV/0!</v>
      </c>
      <c r="R349" s="119"/>
      <c r="S349" s="51">
        <f>VLOOKUP(Alkukysely!$E$4,Keskikesto,6,1)</f>
        <v>0</v>
      </c>
      <c r="X349" s="46"/>
      <c r="Y349">
        <f>IF(E343&gt;0,VLOOKUP(Alkukysely!$E$4,Intensiteettinumero,6,1),VLOOKUP(Alkukysely!$E$4,Kevytnum,6,1))</f>
        <v>0</v>
      </c>
    </row>
    <row r="350" spans="1:25" x14ac:dyDescent="0.25">
      <c r="A350" s="126">
        <f t="shared" si="59"/>
        <v>44268</v>
      </c>
      <c r="B350" s="127">
        <f t="shared" si="57"/>
        <v>44268</v>
      </c>
      <c r="C350" s="131" t="str">
        <f>IF(Y350=4,T350,VLOOKUP(Y350,Intensiteettikoodi,2,1))</f>
        <v>10x6min/2min</v>
      </c>
      <c r="D350" s="120"/>
      <c r="E350" s="144">
        <f>IF(E343&gt;0,ROUND(S350*X351,-1),VLOOKUP(Alkukysely!$E$4,Kevytkesto,7,1))</f>
        <v>80</v>
      </c>
      <c r="F350" s="212">
        <f ca="1">IF(Alkukysely!$E$4&gt;1,VLOOKUP('Viikko-ohjelma'!A345,Kovat23,24,1),VLOOKUP(A345,Kovat1,11,1))</f>
        <v>0</v>
      </c>
      <c r="G350" s="212"/>
      <c r="H350" s="213" t="e">
        <f t="shared" ca="1" si="58"/>
        <v>#DIV/0!</v>
      </c>
      <c r="I350" s="214"/>
      <c r="R350" s="119"/>
      <c r="S350" s="51">
        <f>VLOOKUP(Alkukysely!$E$4,Keskikesto,7,1)</f>
        <v>67.5</v>
      </c>
      <c r="T350" t="str">
        <f>IF(Alkukysely!$E$4&gt;1,VLOOKUP('Viikko-ohjelma'!A345,Kovat23,21,1),VLOOKUP(A345,Kovat1,8,1))</f>
        <v>10x6min/2min</v>
      </c>
      <c r="Y350">
        <f>IF(E343&gt;0,VLOOKUP(Alkukysely!$E$4,Intensiteettinumero,7,1),VLOOKUP(Alkukysely!$E$4,Kevytnum,7,1))</f>
        <v>4</v>
      </c>
    </row>
    <row r="351" spans="1:25" x14ac:dyDescent="0.25">
      <c r="A351" s="126">
        <f t="shared" si="59"/>
        <v>44269</v>
      </c>
      <c r="B351" s="127">
        <f t="shared" si="57"/>
        <v>44269</v>
      </c>
      <c r="C351" s="131" t="str">
        <f>VLOOKUP(Y351,Intensiteettikoodi,2,1)</f>
        <v>Pitkä peruskestävyys</v>
      </c>
      <c r="D351" s="120"/>
      <c r="E351" s="144">
        <f>IF(E343&gt;0,ROUND(S351*X351,-1),VLOOKUP(Alkukysely!$E$4,Kevytkesto,8,1))</f>
        <v>140</v>
      </c>
      <c r="F351" s="139">
        <f ca="1">VLOOKUP(Y351,Intensiteettikoodi,3,1)*Harjoitusalueet!$C$5</f>
        <v>0</v>
      </c>
      <c r="G351" s="139">
        <f ca="1">VLOOKUP(Y351,Intensiteettikoodi,4,1)*Harjoitusalueet!$C$5</f>
        <v>0</v>
      </c>
      <c r="H351" s="140" t="e">
        <f t="shared" ca="1" si="58"/>
        <v>#DIV/0!</v>
      </c>
      <c r="I351" s="141" t="e">
        <f ca="1">TIME(0,0,((2.8/G351)^(1/3))*500)</f>
        <v>#DIV/0!</v>
      </c>
      <c r="R351" s="119"/>
      <c r="S351" s="51">
        <f>VLOOKUP(Alkukysely!$E$4,Keskikesto,8,1)</f>
        <v>120</v>
      </c>
      <c r="V351">
        <f>VLOOKUP(A345,Kausisuunnitelma,7,1)</f>
        <v>6.0000000000000009</v>
      </c>
      <c r="W351">
        <f>VLOOKUP(Alkukysely!$E$4,Keskikesto,10)</f>
        <v>5</v>
      </c>
      <c r="X351">
        <f>V351/W351</f>
        <v>1.2000000000000002</v>
      </c>
      <c r="Y351">
        <f>IF(E343&gt;0,VLOOKUP(Alkukysely!$E$4,Intensiteettinumero,8,1),VLOOKUP(Alkukysely!$E$4,Kevytnum,8,1))</f>
        <v>3</v>
      </c>
    </row>
    <row r="352" spans="1:25" x14ac:dyDescent="0.25">
      <c r="A352" s="193" t="s">
        <v>207</v>
      </c>
      <c r="B352" s="194"/>
      <c r="C352" s="194"/>
      <c r="D352" s="194"/>
      <c r="E352" s="194"/>
      <c r="F352" s="195"/>
      <c r="G352" s="196" t="s">
        <v>208</v>
      </c>
      <c r="H352" s="197"/>
      <c r="I352" s="198"/>
    </row>
    <row r="353" spans="1:25" x14ac:dyDescent="0.25">
      <c r="A353" s="180" t="str">
        <f>C347</f>
        <v>Peruskestävyys</v>
      </c>
      <c r="B353" s="181"/>
      <c r="C353" s="181"/>
      <c r="D353" s="181"/>
      <c r="E353" s="181"/>
      <c r="F353" s="202"/>
      <c r="G353" s="199"/>
      <c r="H353" s="200"/>
      <c r="I353" s="201"/>
    </row>
    <row r="354" spans="1:25" x14ac:dyDescent="0.25">
      <c r="A354" s="184" t="str">
        <f>IF(Alkukysely!$E$4&gt;1,VLOOKUP(A345,Kovat23,34,1),"-")</f>
        <v>-</v>
      </c>
      <c r="B354" s="184"/>
      <c r="C354" s="184"/>
      <c r="D354" s="184"/>
      <c r="E354" s="184"/>
      <c r="F354" s="203"/>
      <c r="G354" s="183" t="str">
        <f>IF(Alkukysely!$E$4&gt;1,VLOOKUP(A345,Kovat23,35,1),"-")</f>
        <v>-</v>
      </c>
      <c r="H354" s="184"/>
      <c r="I354" s="185"/>
    </row>
    <row r="355" spans="1:25" x14ac:dyDescent="0.25">
      <c r="A355" s="184"/>
      <c r="B355" s="184"/>
      <c r="C355" s="184"/>
      <c r="D355" s="184"/>
      <c r="E355" s="184"/>
      <c r="F355" s="203"/>
      <c r="G355" s="183"/>
      <c r="H355" s="184"/>
      <c r="I355" s="185"/>
    </row>
    <row r="356" spans="1:25" ht="16.5" thickBot="1" x14ac:dyDescent="0.3">
      <c r="A356" s="204"/>
      <c r="B356" s="204"/>
      <c r="C356" s="204"/>
      <c r="D356" s="204"/>
      <c r="E356" s="204"/>
      <c r="F356" s="205"/>
      <c r="G356" s="206"/>
      <c r="H356" s="207"/>
      <c r="I356" s="208"/>
    </row>
    <row r="357" spans="1:25" ht="17.25" thickTop="1" thickBot="1" x14ac:dyDescent="0.3">
      <c r="A357" s="180" t="str">
        <f>C350</f>
        <v>10x6min/2min</v>
      </c>
      <c r="B357" s="181"/>
      <c r="C357" s="181"/>
      <c r="D357" s="181"/>
      <c r="E357" s="181"/>
      <c r="F357" s="182"/>
      <c r="G357" s="183" t="str">
        <f>IF(Alkukysely!$E$4&gt;1,VLOOKUP(A345,Kovat23,37,1),VLOOKUP(A345,Kovat1,35,1))</f>
        <v>15 min. alkulämppä + 10 min. loppujäähdyttely</v>
      </c>
      <c r="H357" s="184"/>
      <c r="I357" s="185"/>
    </row>
    <row r="358" spans="1:25" ht="17.25" thickTop="1" thickBot="1" x14ac:dyDescent="0.3">
      <c r="A358" s="189" t="str">
        <f>IF(Alkukysely!$E$4&gt;1,VLOOKUP(A345,Kovat23,36,1),VLOOKUP(A345,Kovat1,34,1))</f>
        <v>Kasvatetaan sarjojen pituutta viime viikosta 1 minuutilla. Mikäli harjoitus tuntui viime viikolla helpolta voit myös nostaa tehoa, mutta tehon nostossa kannattaa olla maltillinen. Voit myös nostaa tehoa harjoituksen edetessä (erityisesti 6.-10. intervalli).</v>
      </c>
      <c r="B358" s="190"/>
      <c r="C358" s="190"/>
      <c r="D358" s="190"/>
      <c r="E358" s="190"/>
      <c r="F358" s="190"/>
      <c r="G358" s="183"/>
      <c r="H358" s="184"/>
      <c r="I358" s="185"/>
    </row>
    <row r="359" spans="1:25" ht="17.25" thickTop="1" thickBot="1" x14ac:dyDescent="0.3">
      <c r="A359" s="189"/>
      <c r="B359" s="190"/>
      <c r="C359" s="190"/>
      <c r="D359" s="190"/>
      <c r="E359" s="190"/>
      <c r="F359" s="190"/>
      <c r="G359" s="183"/>
      <c r="H359" s="184"/>
      <c r="I359" s="185"/>
    </row>
    <row r="360" spans="1:25" ht="26.25" customHeight="1" thickTop="1" thickBot="1" x14ac:dyDescent="0.3">
      <c r="A360" s="191"/>
      <c r="B360" s="192"/>
      <c r="C360" s="192"/>
      <c r="D360" s="192"/>
      <c r="E360" s="192"/>
      <c r="F360" s="192"/>
      <c r="G360" s="186"/>
      <c r="H360" s="187"/>
      <c r="I360" s="188"/>
    </row>
    <row r="361" spans="1:25" x14ac:dyDescent="0.25">
      <c r="A361" s="145" t="str">
        <f>VLOOKUP(A363,Kausisuunnitelma,5,1)</f>
        <v>Kova 1</v>
      </c>
      <c r="B361" s="147" t="s">
        <v>108</v>
      </c>
      <c r="C361" s="146" t="str">
        <f>VLOOKUP(A363,Kausisuunnitelma,3,1)</f>
        <v>Anaerobinen kynnys</v>
      </c>
      <c r="D361" s="124"/>
      <c r="E361" s="147">
        <f>VLOOKUP(A363,Kausisuunnitelma,6,1)</f>
        <v>1</v>
      </c>
      <c r="F361" s="209" t="s">
        <v>209</v>
      </c>
      <c r="G361" s="209"/>
      <c r="H361" s="210" t="s">
        <v>210</v>
      </c>
      <c r="I361" s="211"/>
      <c r="U361" s="118"/>
      <c r="V361" s="118"/>
    </row>
    <row r="362" spans="1:25" ht="48" thickBot="1" x14ac:dyDescent="0.3">
      <c r="A362" s="125" t="s">
        <v>107</v>
      </c>
      <c r="B362" s="128">
        <f>WEEKNUM(A363,21)</f>
        <v>11</v>
      </c>
      <c r="C362" s="130" t="s">
        <v>70</v>
      </c>
      <c r="D362" s="129" t="s">
        <v>71</v>
      </c>
      <c r="E362" s="142" t="s">
        <v>159</v>
      </c>
      <c r="F362" s="121" t="s">
        <v>12</v>
      </c>
      <c r="G362" s="121" t="s">
        <v>13</v>
      </c>
      <c r="H362" s="122" t="s">
        <v>12</v>
      </c>
      <c r="I362" s="123" t="s">
        <v>13</v>
      </c>
      <c r="J362" s="2"/>
      <c r="K362" s="2"/>
      <c r="L362" s="2"/>
      <c r="M362" s="2"/>
      <c r="N362" s="2"/>
      <c r="O362" s="2"/>
      <c r="P362" s="2"/>
      <c r="Q362" s="2"/>
      <c r="R362" s="2"/>
      <c r="S362" s="2"/>
      <c r="T362" s="2" t="s">
        <v>160</v>
      </c>
    </row>
    <row r="363" spans="1:25" x14ac:dyDescent="0.25">
      <c r="A363" s="132">
        <f>A351+1</f>
        <v>44270</v>
      </c>
      <c r="B363" s="133">
        <f t="shared" ref="B363:B369" si="60">A363</f>
        <v>44270</v>
      </c>
      <c r="C363" s="134" t="str">
        <f>VLOOKUP(Y363,Intensiteettikoodi,2,1)</f>
        <v>Lepo</v>
      </c>
      <c r="D363" s="135" t="str">
        <f>IF(Alkukysely!$F$4&gt;1, "Puntti","-")</f>
        <v>-</v>
      </c>
      <c r="E363" s="143">
        <f>IF(E361&gt;0,ROUND(S363*X369,-1),VLOOKUP(Alkukysely!$E$4,Kevytkesto,2,1))</f>
        <v>0</v>
      </c>
      <c r="F363" s="136">
        <f ca="1">VLOOKUP(Y363,Intensiteettikoodi,3,1)*Harjoitusalueet!$C$5</f>
        <v>0</v>
      </c>
      <c r="G363" s="136">
        <f ca="1">VLOOKUP(Y363,Intensiteettikoodi,4,1)*Harjoitusalueet!$C$5</f>
        <v>0</v>
      </c>
      <c r="H363" s="137" t="e">
        <f t="shared" ref="H363:H369" ca="1" si="61">TIME(0,0,((2.8/F363)^(1/3))*500)</f>
        <v>#DIV/0!</v>
      </c>
      <c r="I363" s="138" t="e">
        <f ca="1">TIME(0,0,((2.8/G363)^(1/3))*500)</f>
        <v>#DIV/0!</v>
      </c>
      <c r="R363" s="119"/>
      <c r="S363" s="51">
        <f>VLOOKUP(Alkukysely!$E$4,Keskikesto,2,1)</f>
        <v>0</v>
      </c>
      <c r="Y363">
        <f>IF(E361&gt;0,VLOOKUP(Alkukysely!$E$4,Intensiteettinumero,2,1),VLOOKUP(Alkukysely!$E$4,Kevytnum,2,1))</f>
        <v>0</v>
      </c>
    </row>
    <row r="364" spans="1:25" x14ac:dyDescent="0.25">
      <c r="A364" s="126">
        <f t="shared" ref="A364:A369" si="62">A363+1</f>
        <v>44271</v>
      </c>
      <c r="B364" s="127">
        <f t="shared" si="60"/>
        <v>44271</v>
      </c>
      <c r="C364" s="131" t="str">
        <f>VLOOKUP(Y364,Intensiteettikoodi,2,1)</f>
        <v>Peruskestävyys</v>
      </c>
      <c r="D364" s="120"/>
      <c r="E364" s="144">
        <f>IF(E361&gt;0,ROUND(S364*X369,-1),VLOOKUP(Alkukysely!$E$4,Kevytkesto,3,1))</f>
        <v>30</v>
      </c>
      <c r="F364" s="139">
        <f ca="1">VLOOKUP(Y364,Intensiteettikoodi,3,1)*Harjoitusalueet!$C$5</f>
        <v>0</v>
      </c>
      <c r="G364" s="139">
        <f ca="1">VLOOKUP(Y364,Intensiteettikoodi,4,1)*Harjoitusalueet!$C$5</f>
        <v>0</v>
      </c>
      <c r="H364" s="140" t="e">
        <f t="shared" ca="1" si="61"/>
        <v>#DIV/0!</v>
      </c>
      <c r="I364" s="141" t="e">
        <f ca="1">TIME(0,0,((2.8/G364)^(1/3))*500)</f>
        <v>#DIV/0!</v>
      </c>
      <c r="R364" s="119"/>
      <c r="S364" s="51">
        <f>VLOOKUP(Alkukysely!$E$4,Keskikesto,3,1)</f>
        <v>50</v>
      </c>
      <c r="Y364">
        <f>IF(E361&gt;0,VLOOKUP(Alkukysely!$E$4,Intensiteettinumero,3,1),VLOOKUP(Alkukysely!$E$4,Kevytnum,3,1))</f>
        <v>2</v>
      </c>
    </row>
    <row r="365" spans="1:25" x14ac:dyDescent="0.25">
      <c r="A365" s="126">
        <f t="shared" si="62"/>
        <v>44272</v>
      </c>
      <c r="B365" s="127">
        <f t="shared" si="60"/>
        <v>44272</v>
      </c>
      <c r="C365" s="131" t="str">
        <f>IF(Y365=4,T365,VLOOKUP(Y365,Intensiteettikoodi,2,1))</f>
        <v>Peruskestävyys</v>
      </c>
      <c r="D365" s="120"/>
      <c r="E365" s="144">
        <f>IF(E361&gt;0,ROUND(S365*X369,-1),VLOOKUP(Alkukysely!$E$4,Kevytkesto,4,1))</f>
        <v>40</v>
      </c>
      <c r="F365" s="212">
        <f ca="1">IF(Alkukysely!$E$4&gt;1,VLOOKUP('Viikko-ohjelma'!A363,Kovat23,11,1),VLOOKUP(Y365,Intensiteettikoodi,3,1)*Harjoitusalueet!$C$5)</f>
        <v>0</v>
      </c>
      <c r="G365" s="212"/>
      <c r="H365" s="213" t="e">
        <f t="shared" ca="1" si="61"/>
        <v>#DIV/0!</v>
      </c>
      <c r="I365" s="214"/>
      <c r="R365" s="119"/>
      <c r="S365" s="51">
        <f>VLOOKUP(Alkukysely!$E$4,Keskikesto,4,1)</f>
        <v>62.5</v>
      </c>
      <c r="T365" t="str">
        <f>IF(Alkukysely!$E$4&gt;1,VLOOKUP('Viikko-ohjelma'!A363,Kovat23,8,1),C365)</f>
        <v>Peruskestävyys</v>
      </c>
      <c r="Y365">
        <f>IF(E361&gt;0,VLOOKUP(Alkukysely!$E$4,Intensiteettinumero,4,1),VLOOKUP(Alkukysely!$E$4,Kevytnum,4,1))</f>
        <v>2</v>
      </c>
    </row>
    <row r="366" spans="1:25" x14ac:dyDescent="0.25">
      <c r="A366" s="126">
        <f t="shared" si="62"/>
        <v>44273</v>
      </c>
      <c r="B366" s="127">
        <f t="shared" si="60"/>
        <v>44273</v>
      </c>
      <c r="C366" s="131" t="str">
        <f>VLOOKUP(Y366,Intensiteettikoodi,2,1)</f>
        <v>Lepo</v>
      </c>
      <c r="D366" s="120" t="str">
        <f>IF(AND(Alkukysely!$F$4&gt;2,E361&gt;0), "Puntti","-")</f>
        <v>-</v>
      </c>
      <c r="E366" s="144">
        <f>IF(E361&gt;0,ROUND(S366*X369,-1),VLOOKUP(Alkukysely!$E$4,Kevytkesto,5,1))</f>
        <v>0</v>
      </c>
      <c r="F366" s="139">
        <f ca="1">VLOOKUP(Y366,Intensiteettikoodi,3,1)*Harjoitusalueet!$C$5</f>
        <v>0</v>
      </c>
      <c r="G366" s="139">
        <f ca="1">VLOOKUP(Y366,Intensiteettikoodi,4,1)*Harjoitusalueet!$C$5</f>
        <v>0</v>
      </c>
      <c r="H366" s="140" t="e">
        <f t="shared" ca="1" si="61"/>
        <v>#DIV/0!</v>
      </c>
      <c r="I366" s="141" t="e">
        <f ca="1">TIME(0,0,((2.8/G366)^(1/3))*500)</f>
        <v>#DIV/0!</v>
      </c>
      <c r="R366" s="119"/>
      <c r="S366" s="51">
        <f>VLOOKUP(Alkukysely!$E$4,Keskikesto,5,1)</f>
        <v>0</v>
      </c>
      <c r="X366" s="46"/>
      <c r="Y366">
        <f>IF(E361&gt;0,VLOOKUP(Alkukysely!$E$4,Intensiteettinumero,5,1),VLOOKUP(Alkukysely!$E$4,Kevytnum,5,1))</f>
        <v>0</v>
      </c>
    </row>
    <row r="367" spans="1:25" x14ac:dyDescent="0.25">
      <c r="A367" s="126">
        <f t="shared" si="62"/>
        <v>44274</v>
      </c>
      <c r="B367" s="127">
        <f t="shared" si="60"/>
        <v>44274</v>
      </c>
      <c r="C367" s="131" t="str">
        <f>VLOOKUP(Y367,Intensiteettikoodi,2,1)</f>
        <v>Lepo</v>
      </c>
      <c r="D367" s="120"/>
      <c r="E367" s="144">
        <f>IF(E361&gt;0,ROUND(S367*X369,-1),VLOOKUP(Alkukysely!$E$4,Kevytkesto,6,1))</f>
        <v>0</v>
      </c>
      <c r="F367" s="139">
        <f ca="1">VLOOKUP(Y367,Intensiteettikoodi,3,1)*Harjoitusalueet!$C$5</f>
        <v>0</v>
      </c>
      <c r="G367" s="139">
        <f ca="1">VLOOKUP(Y367,Intensiteettikoodi,4,1)*Harjoitusalueet!$C$5</f>
        <v>0</v>
      </c>
      <c r="H367" s="140" t="e">
        <f t="shared" ca="1" si="61"/>
        <v>#DIV/0!</v>
      </c>
      <c r="I367" s="141" t="e">
        <f ca="1">TIME(0,0,((2.8/G367)^(1/3))*500)</f>
        <v>#DIV/0!</v>
      </c>
      <c r="R367" s="119"/>
      <c r="S367" s="51">
        <f>VLOOKUP(Alkukysely!$E$4,Keskikesto,6,1)</f>
        <v>0</v>
      </c>
      <c r="X367" s="46"/>
      <c r="Y367">
        <f>IF(E361&gt;0,VLOOKUP(Alkukysely!$E$4,Intensiteettinumero,6,1),VLOOKUP(Alkukysely!$E$4,Kevytnum,6,1))</f>
        <v>0</v>
      </c>
    </row>
    <row r="368" spans="1:25" x14ac:dyDescent="0.25">
      <c r="A368" s="126">
        <f t="shared" si="62"/>
        <v>44275</v>
      </c>
      <c r="B368" s="127">
        <f t="shared" si="60"/>
        <v>44275</v>
      </c>
      <c r="C368" s="131" t="str">
        <f>IF(Y368=4,T368,VLOOKUP(Y368,Intensiteettikoodi,2,1))</f>
        <v>500m &amp; 1000m</v>
      </c>
      <c r="D368" s="120"/>
      <c r="E368" s="144">
        <f>IF(E361&gt;0,ROUND(S368*X369,-1),VLOOKUP(Alkukysely!$E$4,Kevytkesto,7,1))</f>
        <v>40</v>
      </c>
      <c r="F368" s="212" t="e">
        <f ca="1">IF(Alkukysely!$E$4&gt;1,VLOOKUP('Viikko-ohjelma'!A363,Kovat23,24,1),VLOOKUP(A363,Kovat1,11,1))</f>
        <v>#DIV/0!</v>
      </c>
      <c r="G368" s="212"/>
      <c r="H368" s="213" t="e">
        <f t="shared" ca="1" si="61"/>
        <v>#DIV/0!</v>
      </c>
      <c r="I368" s="214"/>
      <c r="R368" s="119"/>
      <c r="S368" s="51">
        <f>VLOOKUP(Alkukysely!$E$4,Keskikesto,7,1)</f>
        <v>67.5</v>
      </c>
      <c r="T368" t="str">
        <f>IF(Alkukysely!$E$4&gt;1,VLOOKUP('Viikko-ohjelma'!A363,Kovat23,21,1),VLOOKUP(A363,Kovat1,8,1))</f>
        <v>500m &amp; 1000m</v>
      </c>
      <c r="Y368">
        <f>IF(E361&gt;0,VLOOKUP(Alkukysely!$E$4,Intensiteettinumero,7,1),VLOOKUP(Alkukysely!$E$4,Kevytnum,7,1))</f>
        <v>4</v>
      </c>
    </row>
    <row r="369" spans="1:25" x14ac:dyDescent="0.25">
      <c r="A369" s="126">
        <f t="shared" si="62"/>
        <v>44276</v>
      </c>
      <c r="B369" s="127">
        <f t="shared" si="60"/>
        <v>44276</v>
      </c>
      <c r="C369" s="131" t="str">
        <f>VLOOKUP(Y369,Intensiteettikoodi,2,1)</f>
        <v>Pitkä peruskestävyys</v>
      </c>
      <c r="D369" s="120"/>
      <c r="E369" s="144">
        <f>IF(E361&gt;0,ROUND(S369*X369,-1),VLOOKUP(Alkukysely!$E$4,Kevytkesto,8,1))</f>
        <v>70</v>
      </c>
      <c r="F369" s="139">
        <f ca="1">VLOOKUP(Y369,Intensiteettikoodi,3,1)*Harjoitusalueet!$C$5</f>
        <v>0</v>
      </c>
      <c r="G369" s="139">
        <f ca="1">VLOOKUP(Y369,Intensiteettikoodi,4,1)*Harjoitusalueet!$C$5</f>
        <v>0</v>
      </c>
      <c r="H369" s="140" t="e">
        <f t="shared" ca="1" si="61"/>
        <v>#DIV/0!</v>
      </c>
      <c r="I369" s="141" t="e">
        <f ca="1">TIME(0,0,((2.8/G369)^(1/3))*500)</f>
        <v>#DIV/0!</v>
      </c>
      <c r="R369" s="119"/>
      <c r="S369" s="51">
        <f>VLOOKUP(Alkukysely!$E$4,Keskikesto,8,1)</f>
        <v>120</v>
      </c>
      <c r="V369">
        <f>VLOOKUP(A363,Kausisuunnitelma,7,1)</f>
        <v>3</v>
      </c>
      <c r="W369">
        <f>VLOOKUP(Alkukysely!$E$4,Keskikesto,10)</f>
        <v>5</v>
      </c>
      <c r="X369">
        <f>V369/W369</f>
        <v>0.6</v>
      </c>
      <c r="Y369">
        <f>IF(E361&gt;0,VLOOKUP(Alkukysely!$E$4,Intensiteettinumero,8,1),VLOOKUP(Alkukysely!$E$4,Kevytnum,8,1))</f>
        <v>3</v>
      </c>
    </row>
    <row r="370" spans="1:25" x14ac:dyDescent="0.25">
      <c r="A370" s="193" t="s">
        <v>207</v>
      </c>
      <c r="B370" s="194"/>
      <c r="C370" s="194"/>
      <c r="D370" s="194"/>
      <c r="E370" s="194"/>
      <c r="F370" s="195"/>
      <c r="G370" s="196" t="s">
        <v>208</v>
      </c>
      <c r="H370" s="197"/>
      <c r="I370" s="198"/>
    </row>
    <row r="371" spans="1:25" x14ac:dyDescent="0.25">
      <c r="A371" s="180" t="str">
        <f>C365</f>
        <v>Peruskestävyys</v>
      </c>
      <c r="B371" s="181"/>
      <c r="C371" s="181"/>
      <c r="D371" s="181"/>
      <c r="E371" s="181"/>
      <c r="F371" s="202"/>
      <c r="G371" s="199"/>
      <c r="H371" s="200"/>
      <c r="I371" s="201"/>
    </row>
    <row r="372" spans="1:25" x14ac:dyDescent="0.25">
      <c r="A372" s="184" t="str">
        <f>IF(Alkukysely!$E$4&gt;1,VLOOKUP(A363,Kovat23,34,1),"-")</f>
        <v>-</v>
      </c>
      <c r="B372" s="184"/>
      <c r="C372" s="184"/>
      <c r="D372" s="184"/>
      <c r="E372" s="184"/>
      <c r="F372" s="203"/>
      <c r="G372" s="183" t="str">
        <f>IF(Alkukysely!$E$4&gt;1,VLOOKUP(A363,Kovat23,35,1),"-")</f>
        <v>-</v>
      </c>
      <c r="H372" s="184"/>
      <c r="I372" s="185"/>
    </row>
    <row r="373" spans="1:25" x14ac:dyDescent="0.25">
      <c r="A373" s="184"/>
      <c r="B373" s="184"/>
      <c r="C373" s="184"/>
      <c r="D373" s="184"/>
      <c r="E373" s="184"/>
      <c r="F373" s="203"/>
      <c r="G373" s="183"/>
      <c r="H373" s="184"/>
      <c r="I373" s="185"/>
    </row>
    <row r="374" spans="1:25" ht="16.5" thickBot="1" x14ac:dyDescent="0.3">
      <c r="A374" s="204"/>
      <c r="B374" s="204"/>
      <c r="C374" s="204"/>
      <c r="D374" s="204"/>
      <c r="E374" s="204"/>
      <c r="F374" s="205"/>
      <c r="G374" s="206"/>
      <c r="H374" s="207"/>
      <c r="I374" s="208"/>
    </row>
    <row r="375" spans="1:25" ht="17.25" thickTop="1" thickBot="1" x14ac:dyDescent="0.3">
      <c r="A375" s="180" t="str">
        <f>C368</f>
        <v>500m &amp; 1000m</v>
      </c>
      <c r="B375" s="181"/>
      <c r="C375" s="181"/>
      <c r="D375" s="181"/>
      <c r="E375" s="181"/>
      <c r="F375" s="182"/>
      <c r="G375" s="183" t="str">
        <f>IF(Alkukysely!$E$4&gt;1,VLOOKUP(A363,Kovat23,37,1),VLOOKUP(A363,Kovat1,35,1))</f>
        <v>20 min. alkulämppä + 15 min. loppujäähdyttely</v>
      </c>
      <c r="H375" s="184"/>
      <c r="I375" s="185"/>
    </row>
    <row r="376" spans="1:25" ht="17.25" thickTop="1" thickBot="1" x14ac:dyDescent="0.3">
      <c r="A376" s="189" t="str">
        <f>IF(Alkukysely!$E$4&gt;1,VLOOKUP(A363,Kovat23,36,1),VLOOKUP(A363,Kovat1,34,1))</f>
        <v>500m sekä 10km kilpailu</v>
      </c>
      <c r="B376" s="190"/>
      <c r="C376" s="190"/>
      <c r="D376" s="190"/>
      <c r="E376" s="190"/>
      <c r="F376" s="190"/>
      <c r="G376" s="183"/>
      <c r="H376" s="184"/>
      <c r="I376" s="185"/>
    </row>
    <row r="377" spans="1:25" ht="17.25" thickTop="1" thickBot="1" x14ac:dyDescent="0.3">
      <c r="A377" s="189"/>
      <c r="B377" s="190"/>
      <c r="C377" s="190"/>
      <c r="D377" s="190"/>
      <c r="E377" s="190"/>
      <c r="F377" s="190"/>
      <c r="G377" s="183"/>
      <c r="H377" s="184"/>
      <c r="I377" s="185"/>
    </row>
    <row r="378" spans="1:25" ht="111.75" customHeight="1" thickTop="1" thickBot="1" x14ac:dyDescent="0.3">
      <c r="A378" s="191"/>
      <c r="B378" s="192"/>
      <c r="C378" s="192"/>
      <c r="D378" s="192"/>
      <c r="E378" s="192"/>
      <c r="F378" s="192"/>
      <c r="G378" s="186"/>
      <c r="H378" s="187"/>
      <c r="I378" s="188"/>
    </row>
    <row r="379" spans="1:25" x14ac:dyDescent="0.25">
      <c r="A379" s="145" t="str">
        <f>VLOOKUP(A381,Kausisuunnitelma,5,1)</f>
        <v>Kova 1</v>
      </c>
      <c r="B379" s="147" t="s">
        <v>108</v>
      </c>
      <c r="C379" s="146" t="str">
        <f>VLOOKUP(A381,Kausisuunnitelma,3,1)</f>
        <v>Vauhtikestävyys</v>
      </c>
      <c r="D379" s="124"/>
      <c r="E379" s="147">
        <f>VLOOKUP(A381,Kausisuunnitelma,6,1)</f>
        <v>1</v>
      </c>
      <c r="F379" s="209" t="s">
        <v>209</v>
      </c>
      <c r="G379" s="209"/>
      <c r="H379" s="210" t="s">
        <v>210</v>
      </c>
      <c r="I379" s="211"/>
      <c r="U379" s="118"/>
      <c r="V379" s="118"/>
    </row>
    <row r="380" spans="1:25" ht="48" thickBot="1" x14ac:dyDescent="0.3">
      <c r="A380" s="125" t="s">
        <v>107</v>
      </c>
      <c r="B380" s="128">
        <f>WEEKNUM(A381,21)</f>
        <v>12</v>
      </c>
      <c r="C380" s="130" t="s">
        <v>70</v>
      </c>
      <c r="D380" s="129" t="s">
        <v>71</v>
      </c>
      <c r="E380" s="142" t="s">
        <v>159</v>
      </c>
      <c r="F380" s="121" t="s">
        <v>12</v>
      </c>
      <c r="G380" s="121" t="s">
        <v>13</v>
      </c>
      <c r="H380" s="122" t="s">
        <v>12</v>
      </c>
      <c r="I380" s="123" t="s">
        <v>13</v>
      </c>
      <c r="J380" s="2"/>
      <c r="K380" s="2"/>
      <c r="L380" s="2"/>
      <c r="M380" s="2"/>
      <c r="N380" s="2"/>
      <c r="O380" s="2"/>
      <c r="P380" s="2"/>
      <c r="Q380" s="2"/>
      <c r="R380" s="2"/>
      <c r="S380" s="2"/>
      <c r="T380" s="2" t="s">
        <v>160</v>
      </c>
    </row>
    <row r="381" spans="1:25" x14ac:dyDescent="0.25">
      <c r="A381" s="132">
        <f>A369+1</f>
        <v>44277</v>
      </c>
      <c r="B381" s="133">
        <f t="shared" ref="B381:B387" si="63">A381</f>
        <v>44277</v>
      </c>
      <c r="C381" s="134" t="str">
        <f>VLOOKUP(Y381,Intensiteettikoodi,2,1)</f>
        <v>Lepo</v>
      </c>
      <c r="D381" s="135" t="str">
        <f>IF(Alkukysely!$F$4&gt;1, "Puntti","-")</f>
        <v>-</v>
      </c>
      <c r="E381" s="143">
        <f>IF(E379&gt;0,ROUND(S381*X387,-1),VLOOKUP(Alkukysely!$E$4,Kevytkesto,2,1))</f>
        <v>0</v>
      </c>
      <c r="F381" s="136">
        <f ca="1">VLOOKUP(Y381,Intensiteettikoodi,3,1)*Harjoitusalueet!$C$5</f>
        <v>0</v>
      </c>
      <c r="G381" s="136">
        <f ca="1">VLOOKUP(Y381,Intensiteettikoodi,4,1)*Harjoitusalueet!$C$5</f>
        <v>0</v>
      </c>
      <c r="H381" s="137" t="e">
        <f t="shared" ref="H381:H387" ca="1" si="64">TIME(0,0,((2.8/F381)^(1/3))*500)</f>
        <v>#DIV/0!</v>
      </c>
      <c r="I381" s="138" t="e">
        <f ca="1">TIME(0,0,((2.8/G381)^(1/3))*500)</f>
        <v>#DIV/0!</v>
      </c>
      <c r="R381" s="119"/>
      <c r="S381" s="51">
        <f>VLOOKUP(Alkukysely!$E$4,Keskikesto,2,1)</f>
        <v>0</v>
      </c>
      <c r="Y381">
        <f>IF(E379&gt;0,VLOOKUP(Alkukysely!$E$4,Intensiteettinumero,2,1),VLOOKUP(Alkukysely!$E$4,Kevytnum,2,1))</f>
        <v>0</v>
      </c>
    </row>
    <row r="382" spans="1:25" x14ac:dyDescent="0.25">
      <c r="A382" s="126">
        <f t="shared" ref="A382:A387" si="65">A381+1</f>
        <v>44278</v>
      </c>
      <c r="B382" s="127">
        <f t="shared" si="63"/>
        <v>44278</v>
      </c>
      <c r="C382" s="131" t="str">
        <f>VLOOKUP(Y382,Intensiteettikoodi,2,1)</f>
        <v>Peruskestävyys</v>
      </c>
      <c r="D382" s="120"/>
      <c r="E382" s="144">
        <f>IF(E379&gt;0,ROUND(S382*X387,-1),VLOOKUP(Alkukysely!$E$4,Kevytkesto,3,1))</f>
        <v>60</v>
      </c>
      <c r="F382" s="139">
        <f ca="1">VLOOKUP(Y382,Intensiteettikoodi,3,1)*Harjoitusalueet!$C$5</f>
        <v>0</v>
      </c>
      <c r="G382" s="139">
        <f ca="1">VLOOKUP(Y382,Intensiteettikoodi,4,1)*Harjoitusalueet!$C$5</f>
        <v>0</v>
      </c>
      <c r="H382" s="140" t="e">
        <f t="shared" ca="1" si="64"/>
        <v>#DIV/0!</v>
      </c>
      <c r="I382" s="141" t="e">
        <f ca="1">TIME(0,0,((2.8/G382)^(1/3))*500)</f>
        <v>#DIV/0!</v>
      </c>
      <c r="R382" s="119"/>
      <c r="S382" s="51">
        <f>VLOOKUP(Alkukysely!$E$4,Keskikesto,3,1)</f>
        <v>50</v>
      </c>
      <c r="Y382">
        <f>IF(E379&gt;0,VLOOKUP(Alkukysely!$E$4,Intensiteettinumero,3,1),VLOOKUP(Alkukysely!$E$4,Kevytnum,3,1))</f>
        <v>2</v>
      </c>
    </row>
    <row r="383" spans="1:25" x14ac:dyDescent="0.25">
      <c r="A383" s="126">
        <f t="shared" si="65"/>
        <v>44279</v>
      </c>
      <c r="B383" s="127">
        <f t="shared" si="63"/>
        <v>44279</v>
      </c>
      <c r="C383" s="131" t="str">
        <f>IF(Y383=4,T383,VLOOKUP(Y383,Intensiteettikoodi,2,1))</f>
        <v>Peruskestävyys</v>
      </c>
      <c r="D383" s="120"/>
      <c r="E383" s="144">
        <f>IF(E379&gt;0,ROUND(S383*X387,-1),VLOOKUP(Alkukysely!$E$4,Kevytkesto,4,1))</f>
        <v>70</v>
      </c>
      <c r="F383" s="212">
        <f ca="1">IF(Alkukysely!$E$4&gt;1,VLOOKUP('Viikko-ohjelma'!A381,Kovat23,11,1),VLOOKUP(Y383,Intensiteettikoodi,3,1)*Harjoitusalueet!$C$5)</f>
        <v>0</v>
      </c>
      <c r="G383" s="212"/>
      <c r="H383" s="213" t="e">
        <f t="shared" ca="1" si="64"/>
        <v>#DIV/0!</v>
      </c>
      <c r="I383" s="214"/>
      <c r="R383" s="119"/>
      <c r="S383" s="51">
        <f>VLOOKUP(Alkukysely!$E$4,Keskikesto,4,1)</f>
        <v>62.5</v>
      </c>
      <c r="T383" t="str">
        <f>IF(Alkukysely!$E$4&gt;1,VLOOKUP('Viikko-ohjelma'!A381,Kovat23,8,1),C383)</f>
        <v>Peruskestävyys</v>
      </c>
      <c r="Y383">
        <f>IF(E379&gt;0,VLOOKUP(Alkukysely!$E$4,Intensiteettinumero,4,1),VLOOKUP(Alkukysely!$E$4,Kevytnum,4,1))</f>
        <v>2</v>
      </c>
    </row>
    <row r="384" spans="1:25" x14ac:dyDescent="0.25">
      <c r="A384" s="126">
        <f t="shared" si="65"/>
        <v>44280</v>
      </c>
      <c r="B384" s="127">
        <f t="shared" si="63"/>
        <v>44280</v>
      </c>
      <c r="C384" s="131" t="str">
        <f>VLOOKUP(Y384,Intensiteettikoodi,2,1)</f>
        <v>Lepo</v>
      </c>
      <c r="D384" s="120" t="str">
        <f>IF(AND(Alkukysely!$F$4&gt;2,E379&gt;0), "Puntti","-")</f>
        <v>-</v>
      </c>
      <c r="E384" s="144">
        <f>IF(E379&gt;0,ROUND(S384*X387,-1),VLOOKUP(Alkukysely!$E$4,Kevytkesto,5,1))</f>
        <v>0</v>
      </c>
      <c r="F384" s="139">
        <f ca="1">VLOOKUP(Y384,Intensiteettikoodi,3,1)*Harjoitusalueet!$C$5</f>
        <v>0</v>
      </c>
      <c r="G384" s="139">
        <f ca="1">VLOOKUP(Y384,Intensiteettikoodi,4,1)*Harjoitusalueet!$C$5</f>
        <v>0</v>
      </c>
      <c r="H384" s="140" t="e">
        <f t="shared" ca="1" si="64"/>
        <v>#DIV/0!</v>
      </c>
      <c r="I384" s="141" t="e">
        <f ca="1">TIME(0,0,((2.8/G384)^(1/3))*500)</f>
        <v>#DIV/0!</v>
      </c>
      <c r="R384" s="119"/>
      <c r="S384" s="51">
        <f>VLOOKUP(Alkukysely!$E$4,Keskikesto,5,1)</f>
        <v>0</v>
      </c>
      <c r="X384" s="46"/>
      <c r="Y384">
        <f>IF(E379&gt;0,VLOOKUP(Alkukysely!$E$4,Intensiteettinumero,5,1),VLOOKUP(Alkukysely!$E$4,Kevytnum,5,1))</f>
        <v>0</v>
      </c>
    </row>
    <row r="385" spans="1:25" x14ac:dyDescent="0.25">
      <c r="A385" s="126">
        <f t="shared" si="65"/>
        <v>44281</v>
      </c>
      <c r="B385" s="127">
        <f t="shared" si="63"/>
        <v>44281</v>
      </c>
      <c r="C385" s="131" t="str">
        <f>VLOOKUP(Y385,Intensiteettikoodi,2,1)</f>
        <v>Lepo</v>
      </c>
      <c r="D385" s="120"/>
      <c r="E385" s="144">
        <f>IF(E379&gt;0,ROUND(S385*X387,-1),VLOOKUP(Alkukysely!$E$4,Kevytkesto,6,1))</f>
        <v>0</v>
      </c>
      <c r="F385" s="139">
        <f ca="1">VLOOKUP(Y385,Intensiteettikoodi,3,1)*Harjoitusalueet!$C$5</f>
        <v>0</v>
      </c>
      <c r="G385" s="139">
        <f ca="1">VLOOKUP(Y385,Intensiteettikoodi,4,1)*Harjoitusalueet!$C$5</f>
        <v>0</v>
      </c>
      <c r="H385" s="140" t="e">
        <f t="shared" ca="1" si="64"/>
        <v>#DIV/0!</v>
      </c>
      <c r="I385" s="141" t="e">
        <f ca="1">TIME(0,0,((2.8/G385)^(1/3))*500)</f>
        <v>#DIV/0!</v>
      </c>
      <c r="R385" s="119"/>
      <c r="S385" s="51">
        <f>VLOOKUP(Alkukysely!$E$4,Keskikesto,6,1)</f>
        <v>0</v>
      </c>
      <c r="X385" s="46"/>
      <c r="Y385">
        <f>IF(E379&gt;0,VLOOKUP(Alkukysely!$E$4,Intensiteettinumero,6,1),VLOOKUP(Alkukysely!$E$4,Kevytnum,6,1))</f>
        <v>0</v>
      </c>
    </row>
    <row r="386" spans="1:25" x14ac:dyDescent="0.25">
      <c r="A386" s="126">
        <f t="shared" si="65"/>
        <v>44282</v>
      </c>
      <c r="B386" s="127">
        <f t="shared" si="63"/>
        <v>44282</v>
      </c>
      <c r="C386" s="131" t="str">
        <f>IF(Y386=4,T386,VLOOKUP(Y386,Intensiteettikoodi,2,1))</f>
        <v>3*20min/5min</v>
      </c>
      <c r="D386" s="120"/>
      <c r="E386" s="144">
        <f>IF(E379&gt;0,ROUND(S386*X387,-1),VLOOKUP(Alkukysely!$E$4,Kevytkesto,7,1))</f>
        <v>80</v>
      </c>
      <c r="F386" s="212">
        <f ca="1">IF(Alkukysely!$E$4&gt;1,VLOOKUP('Viikko-ohjelma'!A381,Kovat23,24,1),VLOOKUP(A381,Kovat1,11,1))</f>
        <v>0</v>
      </c>
      <c r="G386" s="212"/>
      <c r="H386" s="213" t="e">
        <f t="shared" ca="1" si="64"/>
        <v>#DIV/0!</v>
      </c>
      <c r="I386" s="214"/>
      <c r="R386" s="119"/>
      <c r="S386" s="51">
        <f>VLOOKUP(Alkukysely!$E$4,Keskikesto,7,1)</f>
        <v>67.5</v>
      </c>
      <c r="T386" t="str">
        <f>IF(Alkukysely!$E$4&gt;1,VLOOKUP('Viikko-ohjelma'!A381,Kovat23,21,1),VLOOKUP(A381,Kovat1,8,1))</f>
        <v>3*20min/5min</v>
      </c>
      <c r="Y386">
        <f>IF(E379&gt;0,VLOOKUP(Alkukysely!$E$4,Intensiteettinumero,7,1),VLOOKUP(Alkukysely!$E$4,Kevytnum,7,1))</f>
        <v>4</v>
      </c>
    </row>
    <row r="387" spans="1:25" x14ac:dyDescent="0.25">
      <c r="A387" s="126">
        <f t="shared" si="65"/>
        <v>44283</v>
      </c>
      <c r="B387" s="127">
        <f t="shared" si="63"/>
        <v>44283</v>
      </c>
      <c r="C387" s="131" t="str">
        <f>VLOOKUP(Y387,Intensiteettikoodi,2,1)</f>
        <v>Pitkä peruskestävyys</v>
      </c>
      <c r="D387" s="120"/>
      <c r="E387" s="144">
        <f>IF(E379&gt;0,ROUND(S387*X387,-1),VLOOKUP(Alkukysely!$E$4,Kevytkesto,8,1))</f>
        <v>130</v>
      </c>
      <c r="F387" s="139">
        <f ca="1">VLOOKUP(Y387,Intensiteettikoodi,3,1)*Harjoitusalueet!$C$5</f>
        <v>0</v>
      </c>
      <c r="G387" s="139">
        <f ca="1">VLOOKUP(Y387,Intensiteettikoodi,4,1)*Harjoitusalueet!$C$5</f>
        <v>0</v>
      </c>
      <c r="H387" s="140" t="e">
        <f t="shared" ca="1" si="64"/>
        <v>#DIV/0!</v>
      </c>
      <c r="I387" s="141" t="e">
        <f ca="1">TIME(0,0,((2.8/G387)^(1/3))*500)</f>
        <v>#DIV/0!</v>
      </c>
      <c r="R387" s="119"/>
      <c r="S387" s="51">
        <f>VLOOKUP(Alkukysely!$E$4,Keskikesto,8,1)</f>
        <v>120</v>
      </c>
      <c r="V387">
        <f>VLOOKUP(A381,Kausisuunnitelma,7,1)</f>
        <v>5.6000000000000005</v>
      </c>
      <c r="W387">
        <f>VLOOKUP(Alkukysely!$E$4,Keskikesto,10)</f>
        <v>5</v>
      </c>
      <c r="X387">
        <f>V387/W387</f>
        <v>1.1200000000000001</v>
      </c>
      <c r="Y387">
        <f>IF(E379&gt;0,VLOOKUP(Alkukysely!$E$4,Intensiteettinumero,8,1),VLOOKUP(Alkukysely!$E$4,Kevytnum,8,1))</f>
        <v>3</v>
      </c>
    </row>
    <row r="388" spans="1:25" x14ac:dyDescent="0.25">
      <c r="A388" s="193" t="s">
        <v>207</v>
      </c>
      <c r="B388" s="194"/>
      <c r="C388" s="194"/>
      <c r="D388" s="194"/>
      <c r="E388" s="194"/>
      <c r="F388" s="195"/>
      <c r="G388" s="196" t="s">
        <v>208</v>
      </c>
      <c r="H388" s="197"/>
      <c r="I388" s="198"/>
    </row>
    <row r="389" spans="1:25" x14ac:dyDescent="0.25">
      <c r="A389" s="180" t="str">
        <f>C383</f>
        <v>Peruskestävyys</v>
      </c>
      <c r="B389" s="181"/>
      <c r="C389" s="181"/>
      <c r="D389" s="181"/>
      <c r="E389" s="181"/>
      <c r="F389" s="202"/>
      <c r="G389" s="199"/>
      <c r="H389" s="200"/>
      <c r="I389" s="201"/>
    </row>
    <row r="390" spans="1:25" x14ac:dyDescent="0.25">
      <c r="A390" s="184" t="str">
        <f>IF(Alkukysely!$E$4&gt;1,VLOOKUP(A381,Kovat23,34,1),"-")</f>
        <v>-</v>
      </c>
      <c r="B390" s="184"/>
      <c r="C390" s="184"/>
      <c r="D390" s="184"/>
      <c r="E390" s="184"/>
      <c r="F390" s="203"/>
      <c r="G390" s="183" t="str">
        <f>IF(Alkukysely!$E$4&gt;1,VLOOKUP(A381,Kovat23,35,1),"-")</f>
        <v>-</v>
      </c>
      <c r="H390" s="184"/>
      <c r="I390" s="185"/>
    </row>
    <row r="391" spans="1:25" x14ac:dyDescent="0.25">
      <c r="A391" s="184"/>
      <c r="B391" s="184"/>
      <c r="C391" s="184"/>
      <c r="D391" s="184"/>
      <c r="E391" s="184"/>
      <c r="F391" s="203"/>
      <c r="G391" s="183"/>
      <c r="H391" s="184"/>
      <c r="I391" s="185"/>
    </row>
    <row r="392" spans="1:25" ht="91.5" customHeight="1" thickBot="1" x14ac:dyDescent="0.3">
      <c r="A392" s="204"/>
      <c r="B392" s="204"/>
      <c r="C392" s="204"/>
      <c r="D392" s="204"/>
      <c r="E392" s="204"/>
      <c r="F392" s="205"/>
      <c r="G392" s="206"/>
      <c r="H392" s="207"/>
      <c r="I392" s="208"/>
    </row>
    <row r="393" spans="1:25" ht="17.25" thickTop="1" thickBot="1" x14ac:dyDescent="0.3">
      <c r="A393" s="180" t="str">
        <f>C386</f>
        <v>3*20min/5min</v>
      </c>
      <c r="B393" s="181"/>
      <c r="C393" s="181"/>
      <c r="D393" s="181"/>
      <c r="E393" s="181"/>
      <c r="F393" s="182"/>
      <c r="G393" s="183" t="str">
        <f>IF(Alkukysely!$E$4&gt;1,VLOOKUP(A381,Kovat23,37,1),VLOOKUP(A381,Kovat1,35,1))</f>
        <v>10 min. alkulämppä + 10 min. loppujäähdyttely</v>
      </c>
      <c r="H393" s="184"/>
      <c r="I393" s="185"/>
    </row>
    <row r="394" spans="1:25" ht="17.25" thickTop="1" thickBot="1" x14ac:dyDescent="0.3">
      <c r="A394" s="189" t="str">
        <f>IF(Alkukysely!$E$4&gt;1,VLOOKUP(A381,Kovat23,36,1),VLOOKUP(A381,Kovat1,34,1))</f>
        <v>Pidempi vauhtikestävyysalueen harjoitus maratonille totuttautumisena.</v>
      </c>
      <c r="B394" s="190"/>
      <c r="C394" s="190"/>
      <c r="D394" s="190"/>
      <c r="E394" s="190"/>
      <c r="F394" s="190"/>
      <c r="G394" s="183"/>
      <c r="H394" s="184"/>
      <c r="I394" s="185"/>
    </row>
    <row r="395" spans="1:25" ht="17.25" thickTop="1" thickBot="1" x14ac:dyDescent="0.3">
      <c r="A395" s="189"/>
      <c r="B395" s="190"/>
      <c r="C395" s="190"/>
      <c r="D395" s="190"/>
      <c r="E395" s="190"/>
      <c r="F395" s="190"/>
      <c r="G395" s="183"/>
      <c r="H395" s="184"/>
      <c r="I395" s="185"/>
    </row>
    <row r="396" spans="1:25" ht="38.25" customHeight="1" thickTop="1" thickBot="1" x14ac:dyDescent="0.3">
      <c r="A396" s="191"/>
      <c r="B396" s="192"/>
      <c r="C396" s="192"/>
      <c r="D396" s="192"/>
      <c r="E396" s="192"/>
      <c r="F396" s="192"/>
      <c r="G396" s="186"/>
      <c r="H396" s="187"/>
      <c r="I396" s="188"/>
    </row>
    <row r="397" spans="1:25" x14ac:dyDescent="0.25">
      <c r="A397" s="145" t="str">
        <f>VLOOKUP(A399,Kausisuunnitelma,5,1)</f>
        <v>Kova 2</v>
      </c>
      <c r="B397" s="147" t="s">
        <v>108</v>
      </c>
      <c r="C397" s="146" t="str">
        <f>VLOOKUP(A399,Kausisuunnitelma,3,1)</f>
        <v>Vauhtikestävyys</v>
      </c>
      <c r="D397" s="124"/>
      <c r="E397" s="147">
        <f>VLOOKUP(A399,Kausisuunnitelma,6,1)</f>
        <v>2</v>
      </c>
      <c r="F397" s="209" t="s">
        <v>209</v>
      </c>
      <c r="G397" s="209"/>
      <c r="H397" s="210" t="s">
        <v>210</v>
      </c>
      <c r="I397" s="211"/>
      <c r="U397" s="118"/>
      <c r="V397" s="118"/>
    </row>
    <row r="398" spans="1:25" ht="48" thickBot="1" x14ac:dyDescent="0.3">
      <c r="A398" s="125" t="s">
        <v>107</v>
      </c>
      <c r="B398" s="128">
        <f>WEEKNUM(A399,21)</f>
        <v>13</v>
      </c>
      <c r="C398" s="130" t="s">
        <v>70</v>
      </c>
      <c r="D398" s="129" t="s">
        <v>71</v>
      </c>
      <c r="E398" s="142" t="s">
        <v>159</v>
      </c>
      <c r="F398" s="121" t="s">
        <v>12</v>
      </c>
      <c r="G398" s="121" t="s">
        <v>13</v>
      </c>
      <c r="H398" s="122" t="s">
        <v>12</v>
      </c>
      <c r="I398" s="123" t="s">
        <v>13</v>
      </c>
      <c r="J398" s="2"/>
      <c r="K398" s="2"/>
      <c r="L398" s="2"/>
      <c r="M398" s="2"/>
      <c r="N398" s="2"/>
      <c r="O398" s="2"/>
      <c r="P398" s="2"/>
      <c r="Q398" s="2"/>
      <c r="R398" s="2"/>
      <c r="S398" s="2"/>
      <c r="T398" s="2" t="s">
        <v>160</v>
      </c>
    </row>
    <row r="399" spans="1:25" x14ac:dyDescent="0.25">
      <c r="A399" s="132">
        <f>A387+1</f>
        <v>44284</v>
      </c>
      <c r="B399" s="133">
        <f t="shared" ref="B399:B405" si="66">A399</f>
        <v>44284</v>
      </c>
      <c r="C399" s="134" t="str">
        <f>VLOOKUP(Y399,Intensiteettikoodi,2,1)</f>
        <v>Lepo</v>
      </c>
      <c r="D399" s="135" t="str">
        <f>IF(Alkukysely!$F$4&gt;1, "Puntti","-")</f>
        <v>-</v>
      </c>
      <c r="E399" s="143">
        <f>IF(E397&gt;0,ROUND(S399*X405,-1),VLOOKUP(Alkukysely!$E$4,Kevytkesto,2,1))</f>
        <v>0</v>
      </c>
      <c r="F399" s="136">
        <f ca="1">VLOOKUP(Y399,Intensiteettikoodi,3,1)*Harjoitusalueet!$C$5</f>
        <v>0</v>
      </c>
      <c r="G399" s="136">
        <f ca="1">VLOOKUP(Y399,Intensiteettikoodi,4,1)*Harjoitusalueet!$C$5</f>
        <v>0</v>
      </c>
      <c r="H399" s="137" t="e">
        <f t="shared" ref="H399:H405" ca="1" si="67">TIME(0,0,((2.8/F399)^(1/3))*500)</f>
        <v>#DIV/0!</v>
      </c>
      <c r="I399" s="138" t="e">
        <f ca="1">TIME(0,0,((2.8/G399)^(1/3))*500)</f>
        <v>#DIV/0!</v>
      </c>
      <c r="R399" s="119"/>
      <c r="S399" s="51">
        <f>VLOOKUP(Alkukysely!$E$4,Keskikesto,2,1)</f>
        <v>0</v>
      </c>
      <c r="Y399">
        <f>IF(E397&gt;0,VLOOKUP(Alkukysely!$E$4,Intensiteettinumero,2,1),VLOOKUP(Alkukysely!$E$4,Kevytnum,2,1))</f>
        <v>0</v>
      </c>
    </row>
    <row r="400" spans="1:25" x14ac:dyDescent="0.25">
      <c r="A400" s="126">
        <f t="shared" ref="A400:A405" si="68">A399+1</f>
        <v>44285</v>
      </c>
      <c r="B400" s="127">
        <f t="shared" si="66"/>
        <v>44285</v>
      </c>
      <c r="C400" s="131" t="str">
        <f>VLOOKUP(Y400,Intensiteettikoodi,2,1)</f>
        <v>Peruskestävyys</v>
      </c>
      <c r="D400" s="120"/>
      <c r="E400" s="144">
        <f>IF(E397&gt;0,ROUND(S400*X405,-1),VLOOKUP(Alkukysely!$E$4,Kevytkesto,3,1))</f>
        <v>60</v>
      </c>
      <c r="F400" s="139">
        <f ca="1">VLOOKUP(Y400,Intensiteettikoodi,3,1)*Harjoitusalueet!$C$5</f>
        <v>0</v>
      </c>
      <c r="G400" s="139">
        <f ca="1">VLOOKUP(Y400,Intensiteettikoodi,4,1)*Harjoitusalueet!$C$5</f>
        <v>0</v>
      </c>
      <c r="H400" s="140" t="e">
        <f t="shared" ca="1" si="67"/>
        <v>#DIV/0!</v>
      </c>
      <c r="I400" s="141" t="e">
        <f ca="1">TIME(0,0,((2.8/G400)^(1/3))*500)</f>
        <v>#DIV/0!</v>
      </c>
      <c r="R400" s="119"/>
      <c r="S400" s="51">
        <f>VLOOKUP(Alkukysely!$E$4,Keskikesto,3,1)</f>
        <v>50</v>
      </c>
      <c r="Y400">
        <f>IF(E397&gt;0,VLOOKUP(Alkukysely!$E$4,Intensiteettinumero,3,1),VLOOKUP(Alkukysely!$E$4,Kevytnum,3,1))</f>
        <v>2</v>
      </c>
    </row>
    <row r="401" spans="1:25" x14ac:dyDescent="0.25">
      <c r="A401" s="126">
        <f t="shared" si="68"/>
        <v>44286</v>
      </c>
      <c r="B401" s="127">
        <f t="shared" si="66"/>
        <v>44286</v>
      </c>
      <c r="C401" s="131" t="str">
        <f>IF(Y401=4,T401,VLOOKUP(Y401,Intensiteettikoodi,2,1))</f>
        <v>Peruskestävyys</v>
      </c>
      <c r="D401" s="120"/>
      <c r="E401" s="144">
        <f>IF(E397&gt;0,ROUND(S401*X405,-1),VLOOKUP(Alkukysely!$E$4,Kevytkesto,4,1))</f>
        <v>80</v>
      </c>
      <c r="F401" s="212">
        <f ca="1">IF(Alkukysely!$E$4&gt;1,VLOOKUP('Viikko-ohjelma'!A399,Kovat23,11,1),VLOOKUP(Y401,Intensiteettikoodi,3,1)*Harjoitusalueet!$C$5)</f>
        <v>0</v>
      </c>
      <c r="G401" s="212"/>
      <c r="H401" s="213" t="e">
        <f t="shared" ca="1" si="67"/>
        <v>#DIV/0!</v>
      </c>
      <c r="I401" s="214"/>
      <c r="R401" s="119"/>
      <c r="S401" s="51">
        <f>VLOOKUP(Alkukysely!$E$4,Keskikesto,4,1)</f>
        <v>62.5</v>
      </c>
      <c r="T401" t="str">
        <f>IF(Alkukysely!$E$4&gt;1,VLOOKUP('Viikko-ohjelma'!A399,Kovat23,8,1),C401)</f>
        <v>Peruskestävyys</v>
      </c>
      <c r="Y401">
        <f>IF(E397&gt;0,VLOOKUP(Alkukysely!$E$4,Intensiteettinumero,4,1),VLOOKUP(Alkukysely!$E$4,Kevytnum,4,1))</f>
        <v>2</v>
      </c>
    </row>
    <row r="402" spans="1:25" x14ac:dyDescent="0.25">
      <c r="A402" s="126">
        <f t="shared" si="68"/>
        <v>44287</v>
      </c>
      <c r="B402" s="127">
        <f t="shared" si="66"/>
        <v>44287</v>
      </c>
      <c r="C402" s="131" t="str">
        <f>VLOOKUP(Y402,Intensiteettikoodi,2,1)</f>
        <v>Lepo</v>
      </c>
      <c r="D402" s="120" t="str">
        <f>IF(AND(Alkukysely!$F$4&gt;2,E397&gt;0), "Puntti","-")</f>
        <v>-</v>
      </c>
      <c r="E402" s="144">
        <f>IF(E397&gt;0,ROUND(S402*X405,-1),VLOOKUP(Alkukysely!$E$4,Kevytkesto,5,1))</f>
        <v>0</v>
      </c>
      <c r="F402" s="139">
        <f ca="1">VLOOKUP(Y402,Intensiteettikoodi,3,1)*Harjoitusalueet!$C$5</f>
        <v>0</v>
      </c>
      <c r="G402" s="139">
        <f ca="1">VLOOKUP(Y402,Intensiteettikoodi,4,1)*Harjoitusalueet!$C$5</f>
        <v>0</v>
      </c>
      <c r="H402" s="140" t="e">
        <f t="shared" ca="1" si="67"/>
        <v>#DIV/0!</v>
      </c>
      <c r="I402" s="141" t="e">
        <f ca="1">TIME(0,0,((2.8/G402)^(1/3))*500)</f>
        <v>#DIV/0!</v>
      </c>
      <c r="R402" s="119"/>
      <c r="S402" s="51">
        <f>VLOOKUP(Alkukysely!$E$4,Keskikesto,5,1)</f>
        <v>0</v>
      </c>
      <c r="X402" s="46"/>
      <c r="Y402">
        <f>IF(E397&gt;0,VLOOKUP(Alkukysely!$E$4,Intensiteettinumero,5,1),VLOOKUP(Alkukysely!$E$4,Kevytnum,5,1))</f>
        <v>0</v>
      </c>
    </row>
    <row r="403" spans="1:25" x14ac:dyDescent="0.25">
      <c r="A403" s="126">
        <f t="shared" si="68"/>
        <v>44288</v>
      </c>
      <c r="B403" s="127">
        <f t="shared" si="66"/>
        <v>44288</v>
      </c>
      <c r="C403" s="131" t="str">
        <f>VLOOKUP(Y403,Intensiteettikoodi,2,1)</f>
        <v>Lepo</v>
      </c>
      <c r="D403" s="120"/>
      <c r="E403" s="144">
        <f>IF(E397&gt;0,ROUND(S403*X405,-1),VLOOKUP(Alkukysely!$E$4,Kevytkesto,6,1))</f>
        <v>0</v>
      </c>
      <c r="F403" s="139">
        <f ca="1">VLOOKUP(Y403,Intensiteettikoodi,3,1)*Harjoitusalueet!$C$5</f>
        <v>0</v>
      </c>
      <c r="G403" s="139">
        <f ca="1">VLOOKUP(Y403,Intensiteettikoodi,4,1)*Harjoitusalueet!$C$5</f>
        <v>0</v>
      </c>
      <c r="H403" s="140" t="e">
        <f t="shared" ca="1" si="67"/>
        <v>#DIV/0!</v>
      </c>
      <c r="I403" s="141" t="e">
        <f ca="1">TIME(0,0,((2.8/G403)^(1/3))*500)</f>
        <v>#DIV/0!</v>
      </c>
      <c r="R403" s="119"/>
      <c r="S403" s="51">
        <f>VLOOKUP(Alkukysely!$E$4,Keskikesto,6,1)</f>
        <v>0</v>
      </c>
      <c r="X403" s="46"/>
      <c r="Y403">
        <f>IF(E397&gt;0,VLOOKUP(Alkukysely!$E$4,Intensiteettinumero,6,1),VLOOKUP(Alkukysely!$E$4,Kevytnum,6,1))</f>
        <v>0</v>
      </c>
    </row>
    <row r="404" spans="1:25" x14ac:dyDescent="0.25">
      <c r="A404" s="126">
        <f t="shared" si="68"/>
        <v>44289</v>
      </c>
      <c r="B404" s="127">
        <f t="shared" si="66"/>
        <v>44289</v>
      </c>
      <c r="C404" s="131" t="str">
        <f>IF(Y404=4,T404,VLOOKUP(Y404,Intensiteettikoodi,2,1))</f>
        <v>4*20min/5min</v>
      </c>
      <c r="D404" s="120"/>
      <c r="E404" s="144">
        <f>IF(E397&gt;0,ROUND(S404*X405,-1),VLOOKUP(Alkukysely!$E$4,Kevytkesto,7,1))</f>
        <v>80</v>
      </c>
      <c r="F404" s="212">
        <f ca="1">IF(Alkukysely!$E$4&gt;1,VLOOKUP('Viikko-ohjelma'!A399,Kovat23,24,1),VLOOKUP(A399,Kovat1,11,1))</f>
        <v>0</v>
      </c>
      <c r="G404" s="212"/>
      <c r="H404" s="213" t="e">
        <f t="shared" ca="1" si="67"/>
        <v>#DIV/0!</v>
      </c>
      <c r="I404" s="214"/>
      <c r="R404" s="119"/>
      <c r="S404" s="51">
        <f>VLOOKUP(Alkukysely!$E$4,Keskikesto,7,1)</f>
        <v>67.5</v>
      </c>
      <c r="T404" t="str">
        <f>IF(Alkukysely!$E$4&gt;1,VLOOKUP('Viikko-ohjelma'!A399,Kovat23,21,1),VLOOKUP(A399,Kovat1,8,1))</f>
        <v>4*20min/5min</v>
      </c>
      <c r="Y404">
        <f>IF(E397&gt;0,VLOOKUP(Alkukysely!$E$4,Intensiteettinumero,7,1),VLOOKUP(Alkukysely!$E$4,Kevytnum,7,1))</f>
        <v>4</v>
      </c>
    </row>
    <row r="405" spans="1:25" x14ac:dyDescent="0.25">
      <c r="A405" s="126">
        <f t="shared" si="68"/>
        <v>44290</v>
      </c>
      <c r="B405" s="127">
        <f t="shared" si="66"/>
        <v>44290</v>
      </c>
      <c r="C405" s="131" t="str">
        <f>VLOOKUP(Y405,Intensiteettikoodi,2,1)</f>
        <v>Pitkä peruskestävyys</v>
      </c>
      <c r="D405" s="120"/>
      <c r="E405" s="144">
        <f>IF(E397&gt;0,ROUND(S405*X405,-1),VLOOKUP(Alkukysely!$E$4,Kevytkesto,8,1))</f>
        <v>140</v>
      </c>
      <c r="F405" s="139">
        <f ca="1">VLOOKUP(Y405,Intensiteettikoodi,3,1)*Harjoitusalueet!$C$5</f>
        <v>0</v>
      </c>
      <c r="G405" s="139">
        <f ca="1">VLOOKUP(Y405,Intensiteettikoodi,4,1)*Harjoitusalueet!$C$5</f>
        <v>0</v>
      </c>
      <c r="H405" s="140" t="e">
        <f t="shared" ca="1" si="67"/>
        <v>#DIV/0!</v>
      </c>
      <c r="I405" s="141" t="e">
        <f ca="1">TIME(0,0,((2.8/G405)^(1/3))*500)</f>
        <v>#DIV/0!</v>
      </c>
      <c r="R405" s="119"/>
      <c r="S405" s="51">
        <f>VLOOKUP(Alkukysely!$E$4,Keskikesto,8,1)</f>
        <v>120</v>
      </c>
      <c r="V405">
        <f>VLOOKUP(A399,Kausisuunnitelma,7,1)</f>
        <v>6.0000000000000009</v>
      </c>
      <c r="W405">
        <f>VLOOKUP(Alkukysely!$E$4,Keskikesto,10)</f>
        <v>5</v>
      </c>
      <c r="X405">
        <f>V405/W405</f>
        <v>1.2000000000000002</v>
      </c>
      <c r="Y405">
        <f>IF(E397&gt;0,VLOOKUP(Alkukysely!$E$4,Intensiteettinumero,8,1),VLOOKUP(Alkukysely!$E$4,Kevytnum,8,1))</f>
        <v>3</v>
      </c>
    </row>
    <row r="406" spans="1:25" x14ac:dyDescent="0.25">
      <c r="A406" s="193" t="s">
        <v>207</v>
      </c>
      <c r="B406" s="194"/>
      <c r="C406" s="194"/>
      <c r="D406" s="194"/>
      <c r="E406" s="194"/>
      <c r="F406" s="195"/>
      <c r="G406" s="196" t="s">
        <v>208</v>
      </c>
      <c r="H406" s="197"/>
      <c r="I406" s="198"/>
    </row>
    <row r="407" spans="1:25" x14ac:dyDescent="0.25">
      <c r="A407" s="180" t="str">
        <f>C401</f>
        <v>Peruskestävyys</v>
      </c>
      <c r="B407" s="181"/>
      <c r="C407" s="181"/>
      <c r="D407" s="181"/>
      <c r="E407" s="181"/>
      <c r="F407" s="202"/>
      <c r="G407" s="199"/>
      <c r="H407" s="200"/>
      <c r="I407" s="201"/>
    </row>
    <row r="408" spans="1:25" x14ac:dyDescent="0.25">
      <c r="A408" s="184" t="str">
        <f>IF(Alkukysely!$E$4&gt;1,VLOOKUP(A399,Kovat23,34,1),"-")</f>
        <v>-</v>
      </c>
      <c r="B408" s="184"/>
      <c r="C408" s="184"/>
      <c r="D408" s="184"/>
      <c r="E408" s="184"/>
      <c r="F408" s="203"/>
      <c r="G408" s="183" t="str">
        <f>IF(Alkukysely!$E$4&gt;1,VLOOKUP(A399,Kovat23,35,1),"-")</f>
        <v>-</v>
      </c>
      <c r="H408" s="184"/>
      <c r="I408" s="185"/>
    </row>
    <row r="409" spans="1:25" x14ac:dyDescent="0.25">
      <c r="A409" s="184"/>
      <c r="B409" s="184"/>
      <c r="C409" s="184"/>
      <c r="D409" s="184"/>
      <c r="E409" s="184"/>
      <c r="F409" s="203"/>
      <c r="G409" s="183"/>
      <c r="H409" s="184"/>
      <c r="I409" s="185"/>
    </row>
    <row r="410" spans="1:25" ht="16.5" thickBot="1" x14ac:dyDescent="0.3">
      <c r="A410" s="204"/>
      <c r="B410" s="204"/>
      <c r="C410" s="204"/>
      <c r="D410" s="204"/>
      <c r="E410" s="204"/>
      <c r="F410" s="205"/>
      <c r="G410" s="206"/>
      <c r="H410" s="207"/>
      <c r="I410" s="208"/>
    </row>
    <row r="411" spans="1:25" ht="17.25" thickTop="1" thickBot="1" x14ac:dyDescent="0.3">
      <c r="A411" s="180" t="str">
        <f>C404</f>
        <v>4*20min/5min</v>
      </c>
      <c r="B411" s="181"/>
      <c r="C411" s="181"/>
      <c r="D411" s="181"/>
      <c r="E411" s="181"/>
      <c r="F411" s="182"/>
      <c r="G411" s="183" t="str">
        <f>IF(Alkukysely!$E$4&gt;1,VLOOKUP(A399,Kovat23,37,1),VLOOKUP(A399,Kovat1,35,1))</f>
        <v>10 min. alkulämppä + 10 min. loppujäähdyttely</v>
      </c>
      <c r="H411" s="184"/>
      <c r="I411" s="185"/>
    </row>
    <row r="412" spans="1:25" ht="17.25" customHeight="1" thickTop="1" thickBot="1" x14ac:dyDescent="0.3">
      <c r="A412" s="189" t="str">
        <f>IF(Alkukysely!$E$4&gt;1,VLOOKUP(A399,Kovat23,36,1),VLOOKUP(A399,Kovat1,34,1))</f>
        <v>Pidennetään harjoituksen kestoa viime viikosta.</v>
      </c>
      <c r="B412" s="190"/>
      <c r="C412" s="190"/>
      <c r="D412" s="190"/>
      <c r="E412" s="190"/>
      <c r="F412" s="190"/>
      <c r="G412" s="183"/>
      <c r="H412" s="184"/>
      <c r="I412" s="185"/>
    </row>
    <row r="413" spans="1:25" ht="17.25" thickTop="1" thickBot="1" x14ac:dyDescent="0.3">
      <c r="A413" s="189"/>
      <c r="B413" s="190"/>
      <c r="C413" s="190"/>
      <c r="D413" s="190"/>
      <c r="E413" s="190"/>
      <c r="F413" s="190"/>
      <c r="G413" s="183"/>
      <c r="H413" s="184"/>
      <c r="I413" s="185"/>
    </row>
    <row r="414" spans="1:25" ht="145.5" customHeight="1" thickTop="1" thickBot="1" x14ac:dyDescent="0.3">
      <c r="A414" s="191"/>
      <c r="B414" s="192"/>
      <c r="C414" s="192"/>
      <c r="D414" s="192"/>
      <c r="E414" s="192"/>
      <c r="F414" s="192"/>
      <c r="G414" s="186"/>
      <c r="H414" s="187"/>
      <c r="I414" s="188"/>
    </row>
    <row r="415" spans="1:25" x14ac:dyDescent="0.25">
      <c r="A415" s="145" t="str">
        <f>VLOOKUP(A417,Kausisuunnitelma,5,1)</f>
        <v>Kevyt</v>
      </c>
      <c r="B415" s="147" t="s">
        <v>108</v>
      </c>
      <c r="C415" s="146" t="str">
        <f>VLOOKUP(A417,Kausisuunnitelma,3,1)</f>
        <v>Vauhtikestävyys</v>
      </c>
      <c r="D415" s="124"/>
      <c r="E415" s="147">
        <f>VLOOKUP(A417,Kausisuunnitelma,6,1)</f>
        <v>0</v>
      </c>
      <c r="F415" s="209" t="s">
        <v>209</v>
      </c>
      <c r="G415" s="209"/>
      <c r="H415" s="210" t="s">
        <v>210</v>
      </c>
      <c r="I415" s="211"/>
      <c r="U415" s="118"/>
      <c r="V415" s="118"/>
    </row>
    <row r="416" spans="1:25" ht="48" thickBot="1" x14ac:dyDescent="0.3">
      <c r="A416" s="125" t="s">
        <v>107</v>
      </c>
      <c r="B416" s="128">
        <f>WEEKNUM(A417,21)</f>
        <v>14</v>
      </c>
      <c r="C416" s="130" t="s">
        <v>70</v>
      </c>
      <c r="D416" s="129" t="s">
        <v>71</v>
      </c>
      <c r="E416" s="142" t="s">
        <v>159</v>
      </c>
      <c r="F416" s="121" t="s">
        <v>12</v>
      </c>
      <c r="G416" s="121" t="s">
        <v>13</v>
      </c>
      <c r="H416" s="122" t="s">
        <v>12</v>
      </c>
      <c r="I416" s="123" t="s">
        <v>13</v>
      </c>
      <c r="J416" s="2"/>
      <c r="K416" s="2"/>
      <c r="L416" s="2"/>
      <c r="M416" s="2"/>
      <c r="N416" s="2"/>
      <c r="O416" s="2"/>
      <c r="P416" s="2"/>
      <c r="Q416" s="2"/>
      <c r="R416" s="2"/>
      <c r="S416" s="2"/>
      <c r="T416" s="2" t="s">
        <v>160</v>
      </c>
    </row>
    <row r="417" spans="1:25" x14ac:dyDescent="0.25">
      <c r="A417" s="132">
        <f>A405+1</f>
        <v>44291</v>
      </c>
      <c r="B417" s="133">
        <f t="shared" ref="B417:B423" si="69">A417</f>
        <v>44291</v>
      </c>
      <c r="C417" s="134" t="str">
        <f>VLOOKUP(Y417,Intensiteettikoodi,2,1)</f>
        <v>Lepo</v>
      </c>
      <c r="D417" s="135" t="str">
        <f>IF(Alkukysely!$F$4&gt;1, "Puntti","-")</f>
        <v>-</v>
      </c>
      <c r="E417" s="143">
        <f>IF(E415&gt;0,ROUND(S417*X423,-1),VLOOKUP(Alkukysely!$E$4,Kevytkesto,2,1))</f>
        <v>0</v>
      </c>
      <c r="F417" s="136">
        <f ca="1">VLOOKUP(Y417,Intensiteettikoodi,3,1)*Harjoitusalueet!$C$5</f>
        <v>0</v>
      </c>
      <c r="G417" s="136">
        <f ca="1">VLOOKUP(Y417,Intensiteettikoodi,4,1)*Harjoitusalueet!$C$5</f>
        <v>0</v>
      </c>
      <c r="H417" s="137" t="e">
        <f t="shared" ref="H417:H423" ca="1" si="70">TIME(0,0,((2.8/F417)^(1/3))*500)</f>
        <v>#DIV/0!</v>
      </c>
      <c r="I417" s="138" t="e">
        <f ca="1">TIME(0,0,((2.8/G417)^(1/3))*500)</f>
        <v>#DIV/0!</v>
      </c>
      <c r="R417" s="119"/>
      <c r="S417" s="51">
        <f>VLOOKUP(Alkukysely!$E$4,Keskikesto,2,1)</f>
        <v>0</v>
      </c>
      <c r="Y417">
        <f>IF(E415&gt;0,VLOOKUP(Alkukysely!$E$4,Intensiteettinumero,2,1),VLOOKUP(Alkukysely!$E$4,Kevytnum,2,1))</f>
        <v>0</v>
      </c>
    </row>
    <row r="418" spans="1:25" x14ac:dyDescent="0.25">
      <c r="A418" s="126">
        <f t="shared" ref="A418:A423" si="71">A417+1</f>
        <v>44292</v>
      </c>
      <c r="B418" s="127">
        <f t="shared" si="69"/>
        <v>44292</v>
      </c>
      <c r="C418" s="131" t="str">
        <f>VLOOKUP(Y418,Intensiteettikoodi,2,1)</f>
        <v>Lepo</v>
      </c>
      <c r="D418" s="120"/>
      <c r="E418" s="144">
        <f>IF(E415&gt;0,ROUND(S418*X423,-1),VLOOKUP(Alkukysely!$E$4,Kevytkesto,3,1))</f>
        <v>0</v>
      </c>
      <c r="F418" s="139">
        <f ca="1">VLOOKUP(Y418,Intensiteettikoodi,3,1)*Harjoitusalueet!$C$5</f>
        <v>0</v>
      </c>
      <c r="G418" s="139">
        <f ca="1">VLOOKUP(Y418,Intensiteettikoodi,4,1)*Harjoitusalueet!$C$5</f>
        <v>0</v>
      </c>
      <c r="H418" s="140" t="e">
        <f t="shared" ca="1" si="70"/>
        <v>#DIV/0!</v>
      </c>
      <c r="I418" s="141" t="e">
        <f ca="1">TIME(0,0,((2.8/G418)^(1/3))*500)</f>
        <v>#DIV/0!</v>
      </c>
      <c r="R418" s="119"/>
      <c r="S418" s="51">
        <f>VLOOKUP(Alkukysely!$E$4,Keskikesto,3,1)</f>
        <v>50</v>
      </c>
      <c r="Y418">
        <f>IF(E415&gt;0,VLOOKUP(Alkukysely!$E$4,Intensiteettinumero,3,1),VLOOKUP(Alkukysely!$E$4,Kevytnum,3,1))</f>
        <v>0</v>
      </c>
    </row>
    <row r="419" spans="1:25" x14ac:dyDescent="0.25">
      <c r="A419" s="126">
        <f t="shared" si="71"/>
        <v>44293</v>
      </c>
      <c r="B419" s="127">
        <f t="shared" si="69"/>
        <v>44293</v>
      </c>
      <c r="C419" s="131" t="str">
        <f>IF(Y419=4,T419,VLOOKUP(Y419,Intensiteettikoodi,2,1))</f>
        <v>Peruskestävyys</v>
      </c>
      <c r="D419" s="120"/>
      <c r="E419" s="144">
        <f>IF(E415&gt;0,ROUND(S419*X423,-1),VLOOKUP(Alkukysely!$E$4,Kevytkesto,4,1))</f>
        <v>60</v>
      </c>
      <c r="F419" s="212">
        <f ca="1">IF(Alkukysely!$E$4&gt;1,VLOOKUP('Viikko-ohjelma'!A417,Kovat23,11,1),VLOOKUP(Y419,Intensiteettikoodi,3,1)*Harjoitusalueet!$C$5)</f>
        <v>0</v>
      </c>
      <c r="G419" s="212"/>
      <c r="H419" s="213" t="e">
        <f t="shared" ca="1" si="70"/>
        <v>#DIV/0!</v>
      </c>
      <c r="I419" s="214"/>
      <c r="R419" s="119"/>
      <c r="S419" s="51">
        <f>VLOOKUP(Alkukysely!$E$4,Keskikesto,4,1)</f>
        <v>62.5</v>
      </c>
      <c r="T419" t="str">
        <f>IF(Alkukysely!$E$4&gt;1,VLOOKUP('Viikko-ohjelma'!A417,Kovat23,8,1),C419)</f>
        <v>Peruskestävyys</v>
      </c>
      <c r="Y419">
        <f>IF(E415&gt;0,VLOOKUP(Alkukysely!$E$4,Intensiteettinumero,4,1),VLOOKUP(Alkukysely!$E$4,Kevytnum,4,1))</f>
        <v>2</v>
      </c>
    </row>
    <row r="420" spans="1:25" x14ac:dyDescent="0.25">
      <c r="A420" s="126">
        <f t="shared" si="71"/>
        <v>44294</v>
      </c>
      <c r="B420" s="127">
        <f t="shared" si="69"/>
        <v>44294</v>
      </c>
      <c r="C420" s="131" t="str">
        <f>VLOOKUP(Y420,Intensiteettikoodi,2,1)</f>
        <v>Lepo</v>
      </c>
      <c r="D420" s="120" t="str">
        <f>IF(AND(Alkukysely!$F$4&gt;2,E415&gt;0), "Puntti","-")</f>
        <v>-</v>
      </c>
      <c r="E420" s="144">
        <f>IF(E415&gt;0,ROUND(S420*X423,-1),VLOOKUP(Alkukysely!$E$4,Kevytkesto,5,1))</f>
        <v>0</v>
      </c>
      <c r="F420" s="139">
        <f ca="1">VLOOKUP(Y420,Intensiteettikoodi,3,1)*Harjoitusalueet!$C$5</f>
        <v>0</v>
      </c>
      <c r="G420" s="139">
        <f ca="1">VLOOKUP(Y420,Intensiteettikoodi,4,1)*Harjoitusalueet!$C$5</f>
        <v>0</v>
      </c>
      <c r="H420" s="140" t="e">
        <f t="shared" ca="1" si="70"/>
        <v>#DIV/0!</v>
      </c>
      <c r="I420" s="141" t="e">
        <f ca="1">TIME(0,0,((2.8/G420)^(1/3))*500)</f>
        <v>#DIV/0!</v>
      </c>
      <c r="R420" s="119"/>
      <c r="S420" s="51">
        <f>VLOOKUP(Alkukysely!$E$4,Keskikesto,5,1)</f>
        <v>0</v>
      </c>
      <c r="X420" s="46"/>
      <c r="Y420">
        <f>IF(E415&gt;0,VLOOKUP(Alkukysely!$E$4,Intensiteettinumero,5,1),VLOOKUP(Alkukysely!$E$4,Kevytnum,5,1))</f>
        <v>0</v>
      </c>
    </row>
    <row r="421" spans="1:25" x14ac:dyDescent="0.25">
      <c r="A421" s="126">
        <f t="shared" si="71"/>
        <v>44295</v>
      </c>
      <c r="B421" s="127">
        <f t="shared" si="69"/>
        <v>44295</v>
      </c>
      <c r="C421" s="131" t="str">
        <f>VLOOKUP(Y421,Intensiteettikoodi,2,1)</f>
        <v>Palauttava</v>
      </c>
      <c r="D421" s="120"/>
      <c r="E421" s="144">
        <f>IF(E415&gt;0,ROUND(S421*X423,-1),VLOOKUP(Alkukysely!$E$4,Kevytkesto,6,1))</f>
        <v>45</v>
      </c>
      <c r="F421" s="139">
        <f ca="1">VLOOKUP(Y421,Intensiteettikoodi,3,1)*Harjoitusalueet!$C$5</f>
        <v>0</v>
      </c>
      <c r="G421" s="139">
        <f ca="1">VLOOKUP(Y421,Intensiteettikoodi,4,1)*Harjoitusalueet!$C$5</f>
        <v>0</v>
      </c>
      <c r="H421" s="140" t="e">
        <f t="shared" ca="1" si="70"/>
        <v>#DIV/0!</v>
      </c>
      <c r="I421" s="141" t="e">
        <f ca="1">TIME(0,0,((2.8/G421)^(1/3))*500)</f>
        <v>#DIV/0!</v>
      </c>
      <c r="R421" s="119"/>
      <c r="S421" s="51">
        <f>VLOOKUP(Alkukysely!$E$4,Keskikesto,6,1)</f>
        <v>0</v>
      </c>
      <c r="X421" s="46"/>
      <c r="Y421">
        <f>IF(E415&gt;0,VLOOKUP(Alkukysely!$E$4,Intensiteettinumero,6,1),VLOOKUP(Alkukysely!$E$4,Kevytnum,6,1))</f>
        <v>1</v>
      </c>
    </row>
    <row r="422" spans="1:25" x14ac:dyDescent="0.25">
      <c r="A422" s="126">
        <f t="shared" si="71"/>
        <v>44296</v>
      </c>
      <c r="B422" s="127">
        <f t="shared" si="69"/>
        <v>44296</v>
      </c>
      <c r="C422" s="131" t="str">
        <f>IF(Y422=4,T422,VLOOKUP(Y422,Intensiteettikoodi,2,1))</f>
        <v>Lepo</v>
      </c>
      <c r="D422" s="120"/>
      <c r="E422" s="144">
        <f>IF(E415&gt;0,ROUND(S422*X423,-1),VLOOKUP(Alkukysely!$E$4,Kevytkesto,7,1))</f>
        <v>0</v>
      </c>
      <c r="F422" s="212">
        <f ca="1">IF(Alkukysely!$E$4&gt;1,VLOOKUP('Viikko-ohjelma'!A417,Kovat23,24,1),VLOOKUP(A417,Kovat1,11,1))</f>
        <v>0</v>
      </c>
      <c r="G422" s="212"/>
      <c r="H422" s="213" t="e">
        <f t="shared" ca="1" si="70"/>
        <v>#DIV/0!</v>
      </c>
      <c r="I422" s="214"/>
      <c r="R422" s="119"/>
      <c r="S422" s="51">
        <f>VLOOKUP(Alkukysely!$E$4,Keskikesto,7,1)</f>
        <v>67.5</v>
      </c>
      <c r="T422" t="str">
        <f>IF(Alkukysely!$E$4&gt;1,VLOOKUP('Viikko-ohjelma'!A417,Kovat23,21,1),VLOOKUP(A417,Kovat1,8,1))</f>
        <v>LEPO</v>
      </c>
      <c r="Y422">
        <f>IF(E415&gt;0,VLOOKUP(Alkukysely!$E$4,Intensiteettinumero,7,1),VLOOKUP(Alkukysely!$E$4,Kevytnum,7,1))</f>
        <v>0</v>
      </c>
    </row>
    <row r="423" spans="1:25" x14ac:dyDescent="0.25">
      <c r="A423" s="126">
        <f t="shared" si="71"/>
        <v>44297</v>
      </c>
      <c r="B423" s="127">
        <f t="shared" si="69"/>
        <v>44297</v>
      </c>
      <c r="C423" s="131" t="str">
        <f>VLOOKUP(Y423,Intensiteettikoodi,2,1)</f>
        <v>Pitkä peruskestävyys</v>
      </c>
      <c r="D423" s="120"/>
      <c r="E423" s="144">
        <f>IF(E415&gt;0,ROUND(S423*X423,-1),VLOOKUP(Alkukysely!$E$4,Kevytkesto,8,1))</f>
        <v>75</v>
      </c>
      <c r="F423" s="139">
        <f ca="1">VLOOKUP(Y423,Intensiteettikoodi,3,1)*Harjoitusalueet!$C$5</f>
        <v>0</v>
      </c>
      <c r="G423" s="139">
        <f ca="1">VLOOKUP(Y423,Intensiteettikoodi,4,1)*Harjoitusalueet!$C$5</f>
        <v>0</v>
      </c>
      <c r="H423" s="140" t="e">
        <f t="shared" ca="1" si="70"/>
        <v>#DIV/0!</v>
      </c>
      <c r="I423" s="141" t="e">
        <f ca="1">TIME(0,0,((2.8/G423)^(1/3))*500)</f>
        <v>#DIV/0!</v>
      </c>
      <c r="R423" s="119"/>
      <c r="S423" s="51">
        <f>VLOOKUP(Alkukysely!$E$4,Keskikesto,8,1)</f>
        <v>120</v>
      </c>
      <c r="V423">
        <f>VLOOKUP(A417,Kausisuunnitelma,7,1)</f>
        <v>3</v>
      </c>
      <c r="W423">
        <f>VLOOKUP(Alkukysely!$E$4,Keskikesto,10)</f>
        <v>5</v>
      </c>
      <c r="X423">
        <f>V423/W423</f>
        <v>0.6</v>
      </c>
      <c r="Y423">
        <f>IF(E415&gt;0,VLOOKUP(Alkukysely!$E$4,Intensiteettinumero,8,1),VLOOKUP(Alkukysely!$E$4,Kevytnum,8,1))</f>
        <v>3</v>
      </c>
    </row>
    <row r="424" spans="1:25" x14ac:dyDescent="0.25">
      <c r="A424" s="193" t="s">
        <v>207</v>
      </c>
      <c r="B424" s="194"/>
      <c r="C424" s="194"/>
      <c r="D424" s="194"/>
      <c r="E424" s="194"/>
      <c r="F424" s="195"/>
      <c r="G424" s="196" t="s">
        <v>208</v>
      </c>
      <c r="H424" s="197"/>
      <c r="I424" s="198"/>
    </row>
    <row r="425" spans="1:25" x14ac:dyDescent="0.25">
      <c r="A425" s="180" t="str">
        <f>C419</f>
        <v>Peruskestävyys</v>
      </c>
      <c r="B425" s="181"/>
      <c r="C425" s="181"/>
      <c r="D425" s="181"/>
      <c r="E425" s="181"/>
      <c r="F425" s="202"/>
      <c r="G425" s="199"/>
      <c r="H425" s="200"/>
      <c r="I425" s="201"/>
    </row>
    <row r="426" spans="1:25" x14ac:dyDescent="0.25">
      <c r="A426" s="184" t="str">
        <f>IF(Alkukysely!$E$4&gt;1,VLOOKUP(A417,Kovat23,34,1),"-")</f>
        <v>-</v>
      </c>
      <c r="B426" s="184"/>
      <c r="C426" s="184"/>
      <c r="D426" s="184"/>
      <c r="E426" s="184"/>
      <c r="F426" s="203"/>
      <c r="G426" s="183" t="str">
        <f>IF(Alkukysely!$E$4&gt;1,VLOOKUP(A417,Kovat23,35,1),"-")</f>
        <v>-</v>
      </c>
      <c r="H426" s="184"/>
      <c r="I426" s="185"/>
    </row>
    <row r="427" spans="1:25" x14ac:dyDescent="0.25">
      <c r="A427" s="184"/>
      <c r="B427" s="184"/>
      <c r="C427" s="184"/>
      <c r="D427" s="184"/>
      <c r="E427" s="184"/>
      <c r="F427" s="203"/>
      <c r="G427" s="183"/>
      <c r="H427" s="184"/>
      <c r="I427" s="185"/>
    </row>
    <row r="428" spans="1:25" ht="16.5" thickBot="1" x14ac:dyDescent="0.3">
      <c r="A428" s="204"/>
      <c r="B428" s="204"/>
      <c r="C428" s="204"/>
      <c r="D428" s="204"/>
      <c r="E428" s="204"/>
      <c r="F428" s="205"/>
      <c r="G428" s="206"/>
      <c r="H428" s="207"/>
      <c r="I428" s="208"/>
    </row>
    <row r="429" spans="1:25" ht="17.25" thickTop="1" thickBot="1" x14ac:dyDescent="0.3">
      <c r="A429" s="180" t="str">
        <f>C422</f>
        <v>Lepo</v>
      </c>
      <c r="B429" s="181"/>
      <c r="C429" s="181"/>
      <c r="D429" s="181"/>
      <c r="E429" s="181"/>
      <c r="F429" s="182"/>
      <c r="G429" s="183">
        <f>IF(Alkukysely!$E$4&gt;1,VLOOKUP(A417,Kovat23,37,1),VLOOKUP(A417,Kovat1,35,1))</f>
        <v>0</v>
      </c>
      <c r="H429" s="184"/>
      <c r="I429" s="185"/>
    </row>
    <row r="430" spans="1:25" ht="17.25" thickTop="1" thickBot="1" x14ac:dyDescent="0.3">
      <c r="A430" s="189">
        <f>IF(Alkukysely!$E$4&gt;1,VLOOKUP(A417,Kovat23,36,1),VLOOKUP(A417,Kovat1,34,1))</f>
        <v>0</v>
      </c>
      <c r="B430" s="190"/>
      <c r="C430" s="190"/>
      <c r="D430" s="190"/>
      <c r="E430" s="190"/>
      <c r="F430" s="190"/>
      <c r="G430" s="183"/>
      <c r="H430" s="184"/>
      <c r="I430" s="185"/>
    </row>
    <row r="431" spans="1:25" ht="17.25" thickTop="1" thickBot="1" x14ac:dyDescent="0.3">
      <c r="A431" s="189"/>
      <c r="B431" s="190"/>
      <c r="C431" s="190"/>
      <c r="D431" s="190"/>
      <c r="E431" s="190"/>
      <c r="F431" s="190"/>
      <c r="G431" s="183"/>
      <c r="H431" s="184"/>
      <c r="I431" s="185"/>
    </row>
    <row r="432" spans="1:25" ht="17.25" thickTop="1" thickBot="1" x14ac:dyDescent="0.3">
      <c r="A432" s="191"/>
      <c r="B432" s="192"/>
      <c r="C432" s="192"/>
      <c r="D432" s="192"/>
      <c r="E432" s="192"/>
      <c r="F432" s="192"/>
      <c r="G432" s="186"/>
      <c r="H432" s="187"/>
      <c r="I432" s="188"/>
    </row>
    <row r="433" spans="1:25" x14ac:dyDescent="0.25">
      <c r="A433" s="145" t="str">
        <f>VLOOKUP(A435,Kausisuunnitelma,5,1)</f>
        <v>Kova 1</v>
      </c>
      <c r="B433" s="147" t="s">
        <v>108</v>
      </c>
      <c r="C433" s="146" t="str">
        <f>VLOOKUP(A435,Kausisuunnitelma,3,1)</f>
        <v>Vauhtikestävyys</v>
      </c>
      <c r="D433" s="124"/>
      <c r="E433" s="147">
        <f>VLOOKUP(A435,Kausisuunnitelma,6,1)</f>
        <v>1</v>
      </c>
      <c r="F433" s="209" t="s">
        <v>209</v>
      </c>
      <c r="G433" s="209"/>
      <c r="H433" s="210" t="s">
        <v>210</v>
      </c>
      <c r="I433" s="211"/>
      <c r="U433" s="118"/>
      <c r="V433" s="118"/>
    </row>
    <row r="434" spans="1:25" ht="48" thickBot="1" x14ac:dyDescent="0.3">
      <c r="A434" s="125" t="s">
        <v>107</v>
      </c>
      <c r="B434" s="128">
        <f>WEEKNUM(A435,21)</f>
        <v>15</v>
      </c>
      <c r="C434" s="130" t="s">
        <v>70</v>
      </c>
      <c r="D434" s="129" t="s">
        <v>71</v>
      </c>
      <c r="E434" s="142" t="s">
        <v>159</v>
      </c>
      <c r="F434" s="121" t="s">
        <v>12</v>
      </c>
      <c r="G434" s="121" t="s">
        <v>13</v>
      </c>
      <c r="H434" s="122" t="s">
        <v>12</v>
      </c>
      <c r="I434" s="123" t="s">
        <v>13</v>
      </c>
      <c r="J434" s="2"/>
      <c r="K434" s="2"/>
      <c r="L434" s="2"/>
      <c r="M434" s="2"/>
      <c r="N434" s="2"/>
      <c r="O434" s="2"/>
      <c r="P434" s="2"/>
      <c r="Q434" s="2"/>
      <c r="R434" s="2"/>
      <c r="S434" s="2"/>
      <c r="T434" s="2" t="s">
        <v>160</v>
      </c>
    </row>
    <row r="435" spans="1:25" x14ac:dyDescent="0.25">
      <c r="A435" s="132">
        <f>A423+1</f>
        <v>44298</v>
      </c>
      <c r="B435" s="133">
        <f t="shared" ref="B435:B441" si="72">A435</f>
        <v>44298</v>
      </c>
      <c r="C435" s="134" t="str">
        <f>VLOOKUP(Y435,Intensiteettikoodi,2,1)</f>
        <v>Lepo</v>
      </c>
      <c r="D435" s="135" t="str">
        <f>IF(Alkukysely!$F$4&gt;1, "Puntti","-")</f>
        <v>-</v>
      </c>
      <c r="E435" s="143">
        <f>IF(E433&gt;0,ROUND(S435*X441,-1),VLOOKUP(Alkukysely!$E$4,Kevytkesto,2,1))</f>
        <v>0</v>
      </c>
      <c r="F435" s="136">
        <f ca="1">VLOOKUP(Y435,Intensiteettikoodi,3,1)*Harjoitusalueet!$C$5</f>
        <v>0</v>
      </c>
      <c r="G435" s="136">
        <f ca="1">VLOOKUP(Y435,Intensiteettikoodi,4,1)*Harjoitusalueet!$C$5</f>
        <v>0</v>
      </c>
      <c r="H435" s="137" t="e">
        <f t="shared" ref="H435:H441" ca="1" si="73">TIME(0,0,((2.8/F435)^(1/3))*500)</f>
        <v>#DIV/0!</v>
      </c>
      <c r="I435" s="138" t="e">
        <f ca="1">TIME(0,0,((2.8/G435)^(1/3))*500)</f>
        <v>#DIV/0!</v>
      </c>
      <c r="R435" s="119"/>
      <c r="S435" s="51">
        <f>VLOOKUP(Alkukysely!$E$4,Keskikesto,2,1)</f>
        <v>0</v>
      </c>
      <c r="Y435">
        <f>IF(E433&gt;0,VLOOKUP(Alkukysely!$E$4,Intensiteettinumero,2,1),VLOOKUP(Alkukysely!$E$4,Kevytnum,2,1))</f>
        <v>0</v>
      </c>
    </row>
    <row r="436" spans="1:25" x14ac:dyDescent="0.25">
      <c r="A436" s="126">
        <f t="shared" ref="A436:A441" si="74">A435+1</f>
        <v>44299</v>
      </c>
      <c r="B436" s="127">
        <f t="shared" si="72"/>
        <v>44299</v>
      </c>
      <c r="C436" s="131" t="str">
        <f>VLOOKUP(Y436,Intensiteettikoodi,2,1)</f>
        <v>Peruskestävyys</v>
      </c>
      <c r="D436" s="120"/>
      <c r="E436" s="144">
        <f>IF(E433&gt;0,ROUND(S436*X441,-1),VLOOKUP(Alkukysely!$E$4,Kevytkesto,3,1))</f>
        <v>60</v>
      </c>
      <c r="F436" s="139">
        <f ca="1">VLOOKUP(Y436,Intensiteettikoodi,3,1)*Harjoitusalueet!$C$5</f>
        <v>0</v>
      </c>
      <c r="G436" s="139">
        <f ca="1">VLOOKUP(Y436,Intensiteettikoodi,4,1)*Harjoitusalueet!$C$5</f>
        <v>0</v>
      </c>
      <c r="H436" s="140" t="e">
        <f t="shared" ca="1" si="73"/>
        <v>#DIV/0!</v>
      </c>
      <c r="I436" s="141" t="e">
        <f ca="1">TIME(0,0,((2.8/G436)^(1/3))*500)</f>
        <v>#DIV/0!</v>
      </c>
      <c r="R436" s="119"/>
      <c r="S436" s="51">
        <f>VLOOKUP(Alkukysely!$E$4,Keskikesto,3,1)</f>
        <v>50</v>
      </c>
      <c r="Y436">
        <f>IF(E433&gt;0,VLOOKUP(Alkukysely!$E$4,Intensiteettinumero,3,1),VLOOKUP(Alkukysely!$E$4,Kevytnum,3,1))</f>
        <v>2</v>
      </c>
    </row>
    <row r="437" spans="1:25" x14ac:dyDescent="0.25">
      <c r="A437" s="126">
        <f t="shared" si="74"/>
        <v>44300</v>
      </c>
      <c r="B437" s="127">
        <f t="shared" si="72"/>
        <v>44300</v>
      </c>
      <c r="C437" s="131" t="str">
        <f>IF(Y437=4,T437,VLOOKUP(Y437,Intensiteettikoodi,2,1))</f>
        <v>Peruskestävyys</v>
      </c>
      <c r="D437" s="120"/>
      <c r="E437" s="144">
        <f>IF(E433&gt;0,ROUND(S437*X441,-1),VLOOKUP(Alkukysely!$E$4,Kevytkesto,4,1))</f>
        <v>70</v>
      </c>
      <c r="F437" s="212">
        <f ca="1">IF(Alkukysely!$E$4&gt;1,VLOOKUP('Viikko-ohjelma'!A435,Kovat23,11,1),VLOOKUP(Y437,Intensiteettikoodi,3,1)*Harjoitusalueet!$C$5)</f>
        <v>0</v>
      </c>
      <c r="G437" s="212"/>
      <c r="H437" s="213" t="e">
        <f t="shared" ca="1" si="73"/>
        <v>#DIV/0!</v>
      </c>
      <c r="I437" s="214"/>
      <c r="R437" s="119"/>
      <c r="S437" s="51">
        <f>VLOOKUP(Alkukysely!$E$4,Keskikesto,4,1)</f>
        <v>62.5</v>
      </c>
      <c r="T437" t="str">
        <f>IF(Alkukysely!$E$4&gt;1,VLOOKUP('Viikko-ohjelma'!A435,Kovat23,8,1),C437)</f>
        <v>Peruskestävyys</v>
      </c>
      <c r="Y437">
        <f>IF(E433&gt;0,VLOOKUP(Alkukysely!$E$4,Intensiteettinumero,4,1),VLOOKUP(Alkukysely!$E$4,Kevytnum,4,1))</f>
        <v>2</v>
      </c>
    </row>
    <row r="438" spans="1:25" x14ac:dyDescent="0.25">
      <c r="A438" s="126">
        <f t="shared" si="74"/>
        <v>44301</v>
      </c>
      <c r="B438" s="127">
        <f t="shared" si="72"/>
        <v>44301</v>
      </c>
      <c r="C438" s="131" t="str">
        <f>VLOOKUP(Y438,Intensiteettikoodi,2,1)</f>
        <v>Lepo</v>
      </c>
      <c r="D438" s="120" t="str">
        <f>IF(AND(Alkukysely!$F$4&gt;2,E433&gt;0), "Puntti","-")</f>
        <v>-</v>
      </c>
      <c r="E438" s="144">
        <f>IF(E433&gt;0,ROUND(S438*X441,-1),VLOOKUP(Alkukysely!$E$4,Kevytkesto,5,1))</f>
        <v>0</v>
      </c>
      <c r="F438" s="139">
        <f ca="1">VLOOKUP(Y438,Intensiteettikoodi,3,1)*Harjoitusalueet!$C$5</f>
        <v>0</v>
      </c>
      <c r="G438" s="139">
        <f ca="1">VLOOKUP(Y438,Intensiteettikoodi,4,1)*Harjoitusalueet!$C$5</f>
        <v>0</v>
      </c>
      <c r="H438" s="140" t="e">
        <f t="shared" ca="1" si="73"/>
        <v>#DIV/0!</v>
      </c>
      <c r="I438" s="141" t="e">
        <f ca="1">TIME(0,0,((2.8/G438)^(1/3))*500)</f>
        <v>#DIV/0!</v>
      </c>
      <c r="R438" s="119"/>
      <c r="S438" s="51">
        <f>VLOOKUP(Alkukysely!$E$4,Keskikesto,5,1)</f>
        <v>0</v>
      </c>
      <c r="X438" s="46"/>
      <c r="Y438">
        <f>IF(E433&gt;0,VLOOKUP(Alkukysely!$E$4,Intensiteettinumero,5,1),VLOOKUP(Alkukysely!$E$4,Kevytnum,5,1))</f>
        <v>0</v>
      </c>
    </row>
    <row r="439" spans="1:25" x14ac:dyDescent="0.25">
      <c r="A439" s="126">
        <f t="shared" si="74"/>
        <v>44302</v>
      </c>
      <c r="B439" s="127">
        <f t="shared" si="72"/>
        <v>44302</v>
      </c>
      <c r="C439" s="131" t="str">
        <f>VLOOKUP(Y439,Intensiteettikoodi,2,1)</f>
        <v>Lepo</v>
      </c>
      <c r="D439" s="120"/>
      <c r="E439" s="144">
        <f>IF(E433&gt;0,ROUND(S439*X441,-1),VLOOKUP(Alkukysely!$E$4,Kevytkesto,6,1))</f>
        <v>0</v>
      </c>
      <c r="F439" s="139">
        <f ca="1">VLOOKUP(Y439,Intensiteettikoodi,3,1)*Harjoitusalueet!$C$5</f>
        <v>0</v>
      </c>
      <c r="G439" s="139">
        <f ca="1">VLOOKUP(Y439,Intensiteettikoodi,4,1)*Harjoitusalueet!$C$5</f>
        <v>0</v>
      </c>
      <c r="H439" s="140" t="e">
        <f t="shared" ca="1" si="73"/>
        <v>#DIV/0!</v>
      </c>
      <c r="I439" s="141" t="e">
        <f ca="1">TIME(0,0,((2.8/G439)^(1/3))*500)</f>
        <v>#DIV/0!</v>
      </c>
      <c r="R439" s="119"/>
      <c r="S439" s="51">
        <f>VLOOKUP(Alkukysely!$E$4,Keskikesto,6,1)</f>
        <v>0</v>
      </c>
      <c r="X439" s="46"/>
      <c r="Y439">
        <f>IF(E433&gt;0,VLOOKUP(Alkukysely!$E$4,Intensiteettinumero,6,1),VLOOKUP(Alkukysely!$E$4,Kevytnum,6,1))</f>
        <v>0</v>
      </c>
    </row>
    <row r="440" spans="1:25" x14ac:dyDescent="0.25">
      <c r="A440" s="126">
        <f t="shared" si="74"/>
        <v>44303</v>
      </c>
      <c r="B440" s="127">
        <f t="shared" si="72"/>
        <v>44303</v>
      </c>
      <c r="C440" s="131" t="str">
        <f>IF(Y440=4,T440,VLOOKUP(Y440,Intensiteettikoodi,2,1))</f>
        <v>3*10min/2min</v>
      </c>
      <c r="D440" s="120"/>
      <c r="E440" s="144">
        <f>IF(E433&gt;0,ROUND(S440*X441,-1),VLOOKUP(Alkukysely!$E$4,Kevytkesto,7,1))</f>
        <v>80</v>
      </c>
      <c r="F440" s="212">
        <f ca="1">IF(Alkukysely!$E$4&gt;1,VLOOKUP('Viikko-ohjelma'!A435,Kovat23,24,1),VLOOKUP(A435,Kovat1,11,1))</f>
        <v>0</v>
      </c>
      <c r="G440" s="212"/>
      <c r="H440" s="213" t="e">
        <f t="shared" ca="1" si="73"/>
        <v>#DIV/0!</v>
      </c>
      <c r="I440" s="214"/>
      <c r="R440" s="119"/>
      <c r="S440" s="51">
        <f>VLOOKUP(Alkukysely!$E$4,Keskikesto,7,1)</f>
        <v>67.5</v>
      </c>
      <c r="T440" t="str">
        <f>IF(Alkukysely!$E$4&gt;1,VLOOKUP('Viikko-ohjelma'!A435,Kovat23,21,1),VLOOKUP(A435,Kovat1,8,1))</f>
        <v>3*10min/2min</v>
      </c>
      <c r="Y440">
        <f>IF(E433&gt;0,VLOOKUP(Alkukysely!$E$4,Intensiteettinumero,7,1),VLOOKUP(Alkukysely!$E$4,Kevytnum,7,1))</f>
        <v>4</v>
      </c>
    </row>
    <row r="441" spans="1:25" x14ac:dyDescent="0.25">
      <c r="A441" s="126">
        <f t="shared" si="74"/>
        <v>44304</v>
      </c>
      <c r="B441" s="127">
        <f t="shared" si="72"/>
        <v>44304</v>
      </c>
      <c r="C441" s="131" t="str">
        <f>VLOOKUP(Y441,Intensiteettikoodi,2,1)</f>
        <v>Pitkä peruskestävyys</v>
      </c>
      <c r="D441" s="120"/>
      <c r="E441" s="144">
        <f>IF(E433&gt;0,ROUND(S441*X441,-1),VLOOKUP(Alkukysely!$E$4,Kevytkesto,8,1))</f>
        <v>130</v>
      </c>
      <c r="F441" s="139">
        <f ca="1">VLOOKUP(Y441,Intensiteettikoodi,3,1)*Harjoitusalueet!$C$5</f>
        <v>0</v>
      </c>
      <c r="G441" s="139">
        <f ca="1">VLOOKUP(Y441,Intensiteettikoodi,4,1)*Harjoitusalueet!$C$5</f>
        <v>0</v>
      </c>
      <c r="H441" s="140" t="e">
        <f t="shared" ca="1" si="73"/>
        <v>#DIV/0!</v>
      </c>
      <c r="I441" s="141" t="e">
        <f ca="1">TIME(0,0,((2.8/G441)^(1/3))*500)</f>
        <v>#DIV/0!</v>
      </c>
      <c r="R441" s="119"/>
      <c r="S441" s="51">
        <f>VLOOKUP(Alkukysely!$E$4,Keskikesto,8,1)</f>
        <v>120</v>
      </c>
      <c r="V441">
        <f>VLOOKUP(A435,Kausisuunnitelma,7,1)</f>
        <v>5.6000000000000005</v>
      </c>
      <c r="W441">
        <f>VLOOKUP(Alkukysely!$E$4,Keskikesto,10)</f>
        <v>5</v>
      </c>
      <c r="X441">
        <f>V441/W441</f>
        <v>1.1200000000000001</v>
      </c>
      <c r="Y441">
        <f>IF(E433&gt;0,VLOOKUP(Alkukysely!$E$4,Intensiteettinumero,8,1),VLOOKUP(Alkukysely!$E$4,Kevytnum,8,1))</f>
        <v>3</v>
      </c>
    </row>
    <row r="442" spans="1:25" x14ac:dyDescent="0.25">
      <c r="A442" s="193" t="s">
        <v>207</v>
      </c>
      <c r="B442" s="194"/>
      <c r="C442" s="194"/>
      <c r="D442" s="194"/>
      <c r="E442" s="194"/>
      <c r="F442" s="195"/>
      <c r="G442" s="196" t="s">
        <v>208</v>
      </c>
      <c r="H442" s="197"/>
      <c r="I442" s="198"/>
    </row>
    <row r="443" spans="1:25" x14ac:dyDescent="0.25">
      <c r="A443" s="180" t="str">
        <f>C437</f>
        <v>Peruskestävyys</v>
      </c>
      <c r="B443" s="181"/>
      <c r="C443" s="181"/>
      <c r="D443" s="181"/>
      <c r="E443" s="181"/>
      <c r="F443" s="202"/>
      <c r="G443" s="199"/>
      <c r="H443" s="200"/>
      <c r="I443" s="201"/>
    </row>
    <row r="444" spans="1:25" x14ac:dyDescent="0.25">
      <c r="A444" s="184" t="str">
        <f>IF(Alkukysely!$E$4&gt;1,VLOOKUP(A435,Kovat23,34,1),"-")</f>
        <v>-</v>
      </c>
      <c r="B444" s="184"/>
      <c r="C444" s="184"/>
      <c r="D444" s="184"/>
      <c r="E444" s="184"/>
      <c r="F444" s="203"/>
      <c r="G444" s="183" t="str">
        <f>IF(Alkukysely!$E$4&gt;1,VLOOKUP(A435,Kovat23,35,1),"-")</f>
        <v>-</v>
      </c>
      <c r="H444" s="184"/>
      <c r="I444" s="185"/>
    </row>
    <row r="445" spans="1:25" x14ac:dyDescent="0.25">
      <c r="A445" s="184"/>
      <c r="B445" s="184"/>
      <c r="C445" s="184"/>
      <c r="D445" s="184"/>
      <c r="E445" s="184"/>
      <c r="F445" s="203"/>
      <c r="G445" s="183"/>
      <c r="H445" s="184"/>
      <c r="I445" s="185"/>
    </row>
    <row r="446" spans="1:25" ht="16.5" thickBot="1" x14ac:dyDescent="0.3">
      <c r="A446" s="204"/>
      <c r="B446" s="204"/>
      <c r="C446" s="204"/>
      <c r="D446" s="204"/>
      <c r="E446" s="204"/>
      <c r="F446" s="205"/>
      <c r="G446" s="206"/>
      <c r="H446" s="207"/>
      <c r="I446" s="208"/>
    </row>
    <row r="447" spans="1:25" ht="17.25" thickTop="1" thickBot="1" x14ac:dyDescent="0.3">
      <c r="A447" s="180" t="str">
        <f>C440</f>
        <v>3*10min/2min</v>
      </c>
      <c r="B447" s="181"/>
      <c r="C447" s="181"/>
      <c r="D447" s="181"/>
      <c r="E447" s="181"/>
      <c r="F447" s="182"/>
      <c r="G447" s="183" t="str">
        <f>IF(Alkukysely!$E$4&gt;1,VLOOKUP(A435,Kovat23,37,1),VLOOKUP(A435,Kovat1,35,1))</f>
        <v>15 min. alkulämppä + 10min. Loppujäähdyttely</v>
      </c>
      <c r="H447" s="184"/>
      <c r="I447" s="185"/>
    </row>
    <row r="448" spans="1:25" ht="17.25" thickTop="1" thickBot="1" x14ac:dyDescent="0.3">
      <c r="A448" s="189" t="str">
        <f>IF(Alkukysely!$E$4&gt;1,VLOOKUP(A435,Kovat23,36,1),VLOOKUP(A435,Kovat1,34,1))</f>
        <v>Kynnysvauhtinen veto</v>
      </c>
      <c r="B448" s="190"/>
      <c r="C448" s="190"/>
      <c r="D448" s="190"/>
      <c r="E448" s="190"/>
      <c r="F448" s="190"/>
      <c r="G448" s="183"/>
      <c r="H448" s="184"/>
      <c r="I448" s="185"/>
    </row>
    <row r="449" spans="1:25" ht="17.25" thickTop="1" thickBot="1" x14ac:dyDescent="0.3">
      <c r="A449" s="189"/>
      <c r="B449" s="190"/>
      <c r="C449" s="190"/>
      <c r="D449" s="190"/>
      <c r="E449" s="190"/>
      <c r="F449" s="190"/>
      <c r="G449" s="183"/>
      <c r="H449" s="184"/>
      <c r="I449" s="185"/>
    </row>
    <row r="450" spans="1:25" ht="23.25" customHeight="1" thickTop="1" thickBot="1" x14ac:dyDescent="0.3">
      <c r="A450" s="191"/>
      <c r="B450" s="192"/>
      <c r="C450" s="192"/>
      <c r="D450" s="192"/>
      <c r="E450" s="192"/>
      <c r="F450" s="192"/>
      <c r="G450" s="186"/>
      <c r="H450" s="187"/>
      <c r="I450" s="188"/>
    </row>
    <row r="451" spans="1:25" x14ac:dyDescent="0.25">
      <c r="A451" s="145" t="str">
        <f>VLOOKUP(A453,Kausisuunnitelma,5,1)</f>
        <v>Kova 1</v>
      </c>
      <c r="B451" s="147" t="s">
        <v>108</v>
      </c>
      <c r="C451" s="146" t="str">
        <f>VLOOKUP(A453,Kausisuunnitelma,3,1)</f>
        <v>Vauhtikestävyys</v>
      </c>
      <c r="D451" s="124"/>
      <c r="E451" s="147">
        <f>VLOOKUP(A453,Kausisuunnitelma,6,1)</f>
        <v>1</v>
      </c>
      <c r="F451" s="209" t="s">
        <v>209</v>
      </c>
      <c r="G451" s="209"/>
      <c r="H451" s="210" t="s">
        <v>210</v>
      </c>
      <c r="I451" s="211"/>
      <c r="U451" s="118"/>
      <c r="V451" s="118"/>
    </row>
    <row r="452" spans="1:25" ht="48" thickBot="1" x14ac:dyDescent="0.3">
      <c r="A452" s="125" t="s">
        <v>107</v>
      </c>
      <c r="B452" s="128">
        <f>WEEKNUM(A453,21)</f>
        <v>16</v>
      </c>
      <c r="C452" s="130" t="s">
        <v>70</v>
      </c>
      <c r="D452" s="129" t="s">
        <v>71</v>
      </c>
      <c r="E452" s="142" t="s">
        <v>159</v>
      </c>
      <c r="F452" s="121" t="s">
        <v>12</v>
      </c>
      <c r="G452" s="121" t="s">
        <v>13</v>
      </c>
      <c r="H452" s="122" t="s">
        <v>12</v>
      </c>
      <c r="I452" s="123" t="s">
        <v>13</v>
      </c>
      <c r="J452" s="2"/>
      <c r="K452" s="2"/>
      <c r="L452" s="2"/>
      <c r="M452" s="2"/>
      <c r="N452" s="2"/>
      <c r="O452" s="2"/>
      <c r="P452" s="2"/>
      <c r="Q452" s="2"/>
      <c r="R452" s="2"/>
      <c r="S452" s="2"/>
      <c r="T452" s="2" t="s">
        <v>160</v>
      </c>
    </row>
    <row r="453" spans="1:25" x14ac:dyDescent="0.25">
      <c r="A453" s="132">
        <f>A441+1</f>
        <v>44305</v>
      </c>
      <c r="B453" s="133">
        <f t="shared" ref="B453:B459" si="75">A453</f>
        <v>44305</v>
      </c>
      <c r="C453" s="134" t="str">
        <f>VLOOKUP(Y453,Intensiteettikoodi,2,1)</f>
        <v>Lepo</v>
      </c>
      <c r="D453" s="135" t="str">
        <f>IF(Alkukysely!$F$4&gt;1, "Puntti","-")</f>
        <v>-</v>
      </c>
      <c r="E453" s="143">
        <f>IF(E451&gt;0,ROUND(S453*X459,-1),VLOOKUP(Alkukysely!$E$4,Kevytkesto,2,1))</f>
        <v>0</v>
      </c>
      <c r="F453" s="136">
        <f ca="1">VLOOKUP(Y453,Intensiteettikoodi,3,1)*Harjoitusalueet!$C$5</f>
        <v>0</v>
      </c>
      <c r="G453" s="136">
        <f ca="1">VLOOKUP(Y453,Intensiteettikoodi,4,1)*Harjoitusalueet!$C$5</f>
        <v>0</v>
      </c>
      <c r="H453" s="137" t="e">
        <f t="shared" ref="H453:H459" ca="1" si="76">TIME(0,0,((2.8/F453)^(1/3))*500)</f>
        <v>#DIV/0!</v>
      </c>
      <c r="I453" s="138" t="e">
        <f ca="1">TIME(0,0,((2.8/G453)^(1/3))*500)</f>
        <v>#DIV/0!</v>
      </c>
      <c r="R453" s="119"/>
      <c r="S453" s="51">
        <f>VLOOKUP(Alkukysely!$E$4,Keskikesto,2,1)</f>
        <v>0</v>
      </c>
      <c r="Y453">
        <f>IF(E451&gt;0,VLOOKUP(Alkukysely!$E$4,Intensiteettinumero,2,1),VLOOKUP(Alkukysely!$E$4,Kevytnum,2,1))</f>
        <v>0</v>
      </c>
    </row>
    <row r="454" spans="1:25" x14ac:dyDescent="0.25">
      <c r="A454" s="126">
        <f t="shared" ref="A454:A459" si="77">A453+1</f>
        <v>44306</v>
      </c>
      <c r="B454" s="127">
        <f t="shared" si="75"/>
        <v>44306</v>
      </c>
      <c r="C454" s="131" t="str">
        <f>VLOOKUP(Y454,Intensiteettikoodi,2,1)</f>
        <v>Peruskestävyys</v>
      </c>
      <c r="D454" s="120"/>
      <c r="E454" s="144">
        <f>IF(E451&gt;0,ROUND(S454*X459,-1),VLOOKUP(Alkukysely!$E$4,Kevytkesto,3,1))</f>
        <v>60</v>
      </c>
      <c r="F454" s="139">
        <f ca="1">VLOOKUP(Y454,Intensiteettikoodi,3,1)*Harjoitusalueet!$C$5</f>
        <v>0</v>
      </c>
      <c r="G454" s="139">
        <f ca="1">VLOOKUP(Y454,Intensiteettikoodi,4,1)*Harjoitusalueet!$C$5</f>
        <v>0</v>
      </c>
      <c r="H454" s="140" t="e">
        <f t="shared" ca="1" si="76"/>
        <v>#DIV/0!</v>
      </c>
      <c r="I454" s="141" t="e">
        <f ca="1">TIME(0,0,((2.8/G454)^(1/3))*500)</f>
        <v>#DIV/0!</v>
      </c>
      <c r="R454" s="119"/>
      <c r="S454" s="51">
        <f>VLOOKUP(Alkukysely!$E$4,Keskikesto,3,1)</f>
        <v>50</v>
      </c>
      <c r="Y454">
        <f>IF(E451&gt;0,VLOOKUP(Alkukysely!$E$4,Intensiteettinumero,3,1),VLOOKUP(Alkukysely!$E$4,Kevytnum,3,1))</f>
        <v>2</v>
      </c>
    </row>
    <row r="455" spans="1:25" x14ac:dyDescent="0.25">
      <c r="A455" s="126">
        <f t="shared" si="77"/>
        <v>44307</v>
      </c>
      <c r="B455" s="127">
        <f t="shared" si="75"/>
        <v>44307</v>
      </c>
      <c r="C455" s="131" t="str">
        <f>IF(Y455=4,T455,VLOOKUP(Y455,Intensiteettikoodi,2,1))</f>
        <v>Peruskestävyys</v>
      </c>
      <c r="D455" s="120"/>
      <c r="E455" s="144">
        <f>IF(E451&gt;0,ROUND(S455*X459,-1),VLOOKUP(Alkukysely!$E$4,Kevytkesto,4,1))</f>
        <v>80</v>
      </c>
      <c r="F455" s="212">
        <f ca="1">IF(Alkukysely!$E$4&gt;1,VLOOKUP('Viikko-ohjelma'!A453,Kovat23,11,1),VLOOKUP(Y455,Intensiteettikoodi,3,1)*Harjoitusalueet!$C$5)</f>
        <v>0</v>
      </c>
      <c r="G455" s="212"/>
      <c r="H455" s="213" t="e">
        <f t="shared" ca="1" si="76"/>
        <v>#DIV/0!</v>
      </c>
      <c r="I455" s="214"/>
      <c r="R455" s="119"/>
      <c r="S455" s="51">
        <f>VLOOKUP(Alkukysely!$E$4,Keskikesto,4,1)</f>
        <v>62.5</v>
      </c>
      <c r="T455" t="str">
        <f>IF(Alkukysely!$E$4&gt;1,VLOOKUP('Viikko-ohjelma'!A453,Kovat23,8,1),C455)</f>
        <v>Peruskestävyys</v>
      </c>
      <c r="Y455">
        <f>IF(E451&gt;0,VLOOKUP(Alkukysely!$E$4,Intensiteettinumero,4,1),VLOOKUP(Alkukysely!$E$4,Kevytnum,4,1))</f>
        <v>2</v>
      </c>
    </row>
    <row r="456" spans="1:25" x14ac:dyDescent="0.25">
      <c r="A456" s="126">
        <f t="shared" si="77"/>
        <v>44308</v>
      </c>
      <c r="B456" s="127">
        <f t="shared" si="75"/>
        <v>44308</v>
      </c>
      <c r="C456" s="131" t="str">
        <f>VLOOKUP(Y456,Intensiteettikoodi,2,1)</f>
        <v>Lepo</v>
      </c>
      <c r="D456" s="120" t="str">
        <f>IF(AND(Alkukysely!$F$4&gt;2,E451&gt;0), "Puntti","-")</f>
        <v>-</v>
      </c>
      <c r="E456" s="144">
        <f>IF(E451&gt;0,ROUND(S456*X459,-1),VLOOKUP(Alkukysely!$E$4,Kevytkesto,5,1))</f>
        <v>0</v>
      </c>
      <c r="F456" s="139">
        <f ca="1">VLOOKUP(Y456,Intensiteettikoodi,3,1)*Harjoitusalueet!$C$5</f>
        <v>0</v>
      </c>
      <c r="G456" s="139">
        <f ca="1">VLOOKUP(Y456,Intensiteettikoodi,4,1)*Harjoitusalueet!$C$5</f>
        <v>0</v>
      </c>
      <c r="H456" s="140" t="e">
        <f t="shared" ca="1" si="76"/>
        <v>#DIV/0!</v>
      </c>
      <c r="I456" s="141" t="e">
        <f ca="1">TIME(0,0,((2.8/G456)^(1/3))*500)</f>
        <v>#DIV/0!</v>
      </c>
      <c r="R456" s="119"/>
      <c r="S456" s="51">
        <f>VLOOKUP(Alkukysely!$E$4,Keskikesto,5,1)</f>
        <v>0</v>
      </c>
      <c r="X456" s="46"/>
      <c r="Y456">
        <f>IF(E451&gt;0,VLOOKUP(Alkukysely!$E$4,Intensiteettinumero,5,1),VLOOKUP(Alkukysely!$E$4,Kevytnum,5,1))</f>
        <v>0</v>
      </c>
    </row>
    <row r="457" spans="1:25" x14ac:dyDescent="0.25">
      <c r="A457" s="126">
        <f t="shared" si="77"/>
        <v>44309</v>
      </c>
      <c r="B457" s="127">
        <f t="shared" si="75"/>
        <v>44309</v>
      </c>
      <c r="C457" s="131" t="str">
        <f>VLOOKUP(Y457,Intensiteettikoodi,2,1)</f>
        <v>Lepo</v>
      </c>
      <c r="D457" s="120"/>
      <c r="E457" s="144">
        <f>IF(E451&gt;0,ROUND(S457*X459,-1),VLOOKUP(Alkukysely!$E$4,Kevytkesto,6,1))</f>
        <v>0</v>
      </c>
      <c r="F457" s="139">
        <f ca="1">VLOOKUP(Y457,Intensiteettikoodi,3,1)*Harjoitusalueet!$C$5</f>
        <v>0</v>
      </c>
      <c r="G457" s="139">
        <f ca="1">VLOOKUP(Y457,Intensiteettikoodi,4,1)*Harjoitusalueet!$C$5</f>
        <v>0</v>
      </c>
      <c r="H457" s="140" t="e">
        <f t="shared" ca="1" si="76"/>
        <v>#DIV/0!</v>
      </c>
      <c r="I457" s="141" t="e">
        <f ca="1">TIME(0,0,((2.8/G457)^(1/3))*500)</f>
        <v>#DIV/0!</v>
      </c>
      <c r="R457" s="119"/>
      <c r="S457" s="51">
        <f>VLOOKUP(Alkukysely!$E$4,Keskikesto,6,1)</f>
        <v>0</v>
      </c>
      <c r="X457" s="46"/>
      <c r="Y457">
        <f>IF(E451&gt;0,VLOOKUP(Alkukysely!$E$4,Intensiteettinumero,6,1),VLOOKUP(Alkukysely!$E$4,Kevytnum,6,1))</f>
        <v>0</v>
      </c>
    </row>
    <row r="458" spans="1:25" x14ac:dyDescent="0.25">
      <c r="A458" s="126">
        <f t="shared" si="77"/>
        <v>44310</v>
      </c>
      <c r="B458" s="127">
        <f t="shared" si="75"/>
        <v>44310</v>
      </c>
      <c r="C458" s="131" t="str">
        <f>IF(Y458=4,T458,VLOOKUP(Y458,Intensiteettikoodi,2,1))</f>
        <v>Maraton</v>
      </c>
      <c r="D458" s="120"/>
      <c r="E458" s="144">
        <f>IF(E451&gt;0,ROUND(S458*X459,-1),VLOOKUP(Alkukysely!$E$4,Kevytkesto,7,1))</f>
        <v>80</v>
      </c>
      <c r="F458" s="212">
        <f ca="1">IF(Alkukysely!$E$4&gt;1,VLOOKUP('Viikko-ohjelma'!A453,Kovat23,24,1),VLOOKUP(A453,Kovat1,11,1))</f>
        <v>0</v>
      </c>
      <c r="G458" s="212"/>
      <c r="H458" s="213" t="e">
        <f t="shared" ca="1" si="76"/>
        <v>#DIV/0!</v>
      </c>
      <c r="I458" s="214"/>
      <c r="R458" s="119"/>
      <c r="S458" s="51">
        <f>VLOOKUP(Alkukysely!$E$4,Keskikesto,7,1)</f>
        <v>67.5</v>
      </c>
      <c r="T458" t="str">
        <f>IF(Alkukysely!$E$4&gt;1,VLOOKUP('Viikko-ohjelma'!A453,Kovat23,21,1),VLOOKUP(A453,Kovat1,8,1))</f>
        <v>Maraton</v>
      </c>
      <c r="Y458">
        <f>IF(E451&gt;0,VLOOKUP(Alkukysely!$E$4,Intensiteettinumero,7,1),VLOOKUP(Alkukysely!$E$4,Kevytnum,7,1))</f>
        <v>4</v>
      </c>
    </row>
    <row r="459" spans="1:25" x14ac:dyDescent="0.25">
      <c r="A459" s="126">
        <f t="shared" si="77"/>
        <v>44311</v>
      </c>
      <c r="B459" s="127">
        <f t="shared" si="75"/>
        <v>44311</v>
      </c>
      <c r="C459" s="131" t="str">
        <f>VLOOKUP(Y459,Intensiteettikoodi,2,1)</f>
        <v>Pitkä peruskestävyys</v>
      </c>
      <c r="D459" s="120"/>
      <c r="E459" s="144">
        <f>IF(E451&gt;0,ROUND(S459*X459,-1),VLOOKUP(Alkukysely!$E$4,Kevytkesto,8,1))</f>
        <v>140</v>
      </c>
      <c r="F459" s="139">
        <f ca="1">VLOOKUP(Y459,Intensiteettikoodi,3,1)*Harjoitusalueet!$C$5</f>
        <v>0</v>
      </c>
      <c r="G459" s="139">
        <f ca="1">VLOOKUP(Y459,Intensiteettikoodi,4,1)*Harjoitusalueet!$C$5</f>
        <v>0</v>
      </c>
      <c r="H459" s="140" t="e">
        <f t="shared" ca="1" si="76"/>
        <v>#DIV/0!</v>
      </c>
      <c r="I459" s="141" t="e">
        <f ca="1">TIME(0,0,((2.8/G459)^(1/3))*500)</f>
        <v>#DIV/0!</v>
      </c>
      <c r="R459" s="119"/>
      <c r="S459" s="51">
        <f>VLOOKUP(Alkukysely!$E$4,Keskikesto,8,1)</f>
        <v>120</v>
      </c>
      <c r="V459">
        <f>VLOOKUP(A453,Kausisuunnitelma,7,1)</f>
        <v>6.0000000000000009</v>
      </c>
      <c r="W459">
        <f>VLOOKUP(Alkukysely!$E$4,Keskikesto,10)</f>
        <v>5</v>
      </c>
      <c r="X459">
        <f>V459/W459</f>
        <v>1.2000000000000002</v>
      </c>
      <c r="Y459">
        <f>IF(E451&gt;0,VLOOKUP(Alkukysely!$E$4,Intensiteettinumero,8,1),VLOOKUP(Alkukysely!$E$4,Kevytnum,8,1))</f>
        <v>3</v>
      </c>
    </row>
    <row r="460" spans="1:25" x14ac:dyDescent="0.25">
      <c r="A460" s="193" t="s">
        <v>207</v>
      </c>
      <c r="B460" s="194"/>
      <c r="C460" s="194"/>
      <c r="D460" s="194"/>
      <c r="E460" s="194"/>
      <c r="F460" s="195"/>
      <c r="G460" s="196" t="s">
        <v>208</v>
      </c>
      <c r="H460" s="197"/>
      <c r="I460" s="198"/>
    </row>
    <row r="461" spans="1:25" x14ac:dyDescent="0.25">
      <c r="A461" s="180" t="str">
        <f>C455</f>
        <v>Peruskestävyys</v>
      </c>
      <c r="B461" s="181"/>
      <c r="C461" s="181"/>
      <c r="D461" s="181"/>
      <c r="E461" s="181"/>
      <c r="F461" s="202"/>
      <c r="G461" s="199"/>
      <c r="H461" s="200"/>
      <c r="I461" s="201"/>
    </row>
    <row r="462" spans="1:25" x14ac:dyDescent="0.25">
      <c r="A462" s="184" t="str">
        <f>IF(Alkukysely!$E$4&gt;1,VLOOKUP(A453,Kovat23,34,1),"-")</f>
        <v>-</v>
      </c>
      <c r="B462" s="184"/>
      <c r="C462" s="184"/>
      <c r="D462" s="184"/>
      <c r="E462" s="184"/>
      <c r="F462" s="203"/>
      <c r="G462" s="183" t="str">
        <f>IF(Alkukysely!$E$4&gt;1,VLOOKUP(A453,Kovat23,35,1),"-")</f>
        <v>-</v>
      </c>
      <c r="H462" s="184"/>
      <c r="I462" s="185"/>
    </row>
    <row r="463" spans="1:25" x14ac:dyDescent="0.25">
      <c r="A463" s="184"/>
      <c r="B463" s="184"/>
      <c r="C463" s="184"/>
      <c r="D463" s="184"/>
      <c r="E463" s="184"/>
      <c r="F463" s="203"/>
      <c r="G463" s="183"/>
      <c r="H463" s="184"/>
      <c r="I463" s="185"/>
    </row>
    <row r="464" spans="1:25" ht="16.5" thickBot="1" x14ac:dyDescent="0.3">
      <c r="A464" s="204"/>
      <c r="B464" s="204"/>
      <c r="C464" s="204"/>
      <c r="D464" s="204"/>
      <c r="E464" s="204"/>
      <c r="F464" s="205"/>
      <c r="G464" s="206"/>
      <c r="H464" s="207"/>
      <c r="I464" s="208"/>
    </row>
    <row r="465" spans="1:25" ht="17.25" thickTop="1" thickBot="1" x14ac:dyDescent="0.3">
      <c r="A465" s="180" t="str">
        <f>C458</f>
        <v>Maraton</v>
      </c>
      <c r="B465" s="181"/>
      <c r="C465" s="181"/>
      <c r="D465" s="181"/>
      <c r="E465" s="181"/>
      <c r="F465" s="182"/>
      <c r="G465" s="183" t="str">
        <f>IF(Alkukysely!$E$4&gt;1,VLOOKUP(A453,Kovat23,37,1),VLOOKUP(A453,Kovat1,35,1))</f>
        <v>Maratonille riittää 10-15 minuutin alkulämmittely, jonka aikana herättelet aerobisen koneiston. Kevyemmässä versiossa riittää vauhdin nosto aerobiselle kynnykselle, kovemmassa versiossa 2-3 minuuttia tavoiteteholla lämmittelyn loppupuolella (jonka jälkeen pari minuuttia kevyttä soutua). Tarkoitus ei ole ehdyttää energiavarastoja liikaa.</v>
      </c>
      <c r="H465" s="184"/>
      <c r="I465" s="185"/>
    </row>
    <row r="466" spans="1:25" ht="17.25" customHeight="1" thickTop="1" thickBot="1" x14ac:dyDescent="0.3">
      <c r="A466" s="189" t="str">
        <f>IF(Alkukysely!$E$4&gt;1,VLOOKUP(A453,Kovat23,36,1),VLOOKUP(A453,Kovat1,34,1))</f>
        <v>Ohjelmassa maraton/puolimaraton. Tämän alueen vauhtiennuste ei ole niin tarkka, joten kannattaa huomioida omat aiemmat tulokset. Ens kertaa maratonille lähtevälle suosittelen tehoksi suunnilleen aerobisen kynnyksen tehoa (ks. Viikon 11 harjoituksen ohjeteho), josta voit sitten mahdollisuuksien mukaan nostaa tehoa suorituksen aikana. Vastaavasti hyvät pitkän matkan ominaisuudet omaava voi suoriutua maratonista jopa hyvin lähellä anaerobista kynnystään.</v>
      </c>
      <c r="B466" s="190"/>
      <c r="C466" s="190"/>
      <c r="D466" s="190"/>
      <c r="E466" s="190"/>
      <c r="F466" s="190"/>
      <c r="G466" s="183"/>
      <c r="H466" s="184"/>
      <c r="I466" s="185"/>
    </row>
    <row r="467" spans="1:25" ht="17.25" thickTop="1" thickBot="1" x14ac:dyDescent="0.3">
      <c r="A467" s="189"/>
      <c r="B467" s="190"/>
      <c r="C467" s="190"/>
      <c r="D467" s="190"/>
      <c r="E467" s="190"/>
      <c r="F467" s="190"/>
      <c r="G467" s="183"/>
      <c r="H467" s="184"/>
      <c r="I467" s="185"/>
    </row>
    <row r="468" spans="1:25" ht="174.75" customHeight="1" thickTop="1" thickBot="1" x14ac:dyDescent="0.3">
      <c r="A468" s="191"/>
      <c r="B468" s="192"/>
      <c r="C468" s="192"/>
      <c r="D468" s="192"/>
      <c r="E468" s="192"/>
      <c r="F468" s="192"/>
      <c r="G468" s="186"/>
      <c r="H468" s="187"/>
      <c r="I468" s="188"/>
    </row>
    <row r="469" spans="1:25" x14ac:dyDescent="0.25">
      <c r="A469" s="145" t="str">
        <f>VLOOKUP(A471,Kausisuunnitelma,5,1)</f>
        <v>Kova 1</v>
      </c>
      <c r="B469" s="147" t="s">
        <v>108</v>
      </c>
      <c r="C469" s="146" t="str">
        <f>VLOOKUP(A471,Kausisuunnitelma,3,1)</f>
        <v>Vauhtikestävyys</v>
      </c>
      <c r="D469" s="124"/>
      <c r="E469" s="147">
        <f>VLOOKUP(A471,Kausisuunnitelma,6,1)</f>
        <v>1</v>
      </c>
      <c r="F469" s="209" t="s">
        <v>209</v>
      </c>
      <c r="G469" s="209"/>
      <c r="H469" s="210" t="s">
        <v>210</v>
      </c>
      <c r="I469" s="211"/>
      <c r="U469" s="118"/>
      <c r="V469" s="118"/>
    </row>
    <row r="470" spans="1:25" ht="48" thickBot="1" x14ac:dyDescent="0.3">
      <c r="A470" s="125" t="s">
        <v>107</v>
      </c>
      <c r="B470" s="128">
        <f>WEEKNUM(A471,21)</f>
        <v>17</v>
      </c>
      <c r="C470" s="130" t="s">
        <v>70</v>
      </c>
      <c r="D470" s="129" t="s">
        <v>71</v>
      </c>
      <c r="E470" s="142" t="s">
        <v>159</v>
      </c>
      <c r="F470" s="121" t="s">
        <v>12</v>
      </c>
      <c r="G470" s="121" t="s">
        <v>13</v>
      </c>
      <c r="H470" s="122" t="s">
        <v>12</v>
      </c>
      <c r="I470" s="123" t="s">
        <v>13</v>
      </c>
      <c r="J470" s="2"/>
      <c r="K470" s="2"/>
      <c r="L470" s="2"/>
      <c r="M470" s="2"/>
      <c r="N470" s="2"/>
      <c r="O470" s="2"/>
      <c r="P470" s="2"/>
      <c r="Q470" s="2"/>
      <c r="R470" s="2"/>
      <c r="S470" s="2"/>
      <c r="T470" s="2" t="s">
        <v>160</v>
      </c>
    </row>
    <row r="471" spans="1:25" x14ac:dyDescent="0.25">
      <c r="A471" s="132">
        <f>A459+1</f>
        <v>44312</v>
      </c>
      <c r="B471" s="133">
        <f t="shared" ref="B471:B477" si="78">A471</f>
        <v>44312</v>
      </c>
      <c r="C471" s="134" t="str">
        <f>VLOOKUP(Y471,Intensiteettikoodi,2,1)</f>
        <v>Lepo</v>
      </c>
      <c r="D471" s="135" t="str">
        <f>IF(Alkukysely!$F$4&gt;1, "Puntti","-")</f>
        <v>-</v>
      </c>
      <c r="E471" s="143">
        <f>IF(E469&gt;0,ROUND(S471*X477,-1),VLOOKUP(Alkukysely!$E$4,Kevytkesto,2,1))</f>
        <v>0</v>
      </c>
      <c r="F471" s="136">
        <f ca="1">VLOOKUP(Y471,Intensiteettikoodi,3,1)*Harjoitusalueet!$C$5</f>
        <v>0</v>
      </c>
      <c r="G471" s="136">
        <f ca="1">VLOOKUP(Y471,Intensiteettikoodi,4,1)*Harjoitusalueet!$C$5</f>
        <v>0</v>
      </c>
      <c r="H471" s="137" t="e">
        <f t="shared" ref="H471:H477" ca="1" si="79">TIME(0,0,((2.8/F471)^(1/3))*500)</f>
        <v>#DIV/0!</v>
      </c>
      <c r="I471" s="138" t="e">
        <f ca="1">TIME(0,0,((2.8/G471)^(1/3))*500)</f>
        <v>#DIV/0!</v>
      </c>
      <c r="R471" s="119"/>
      <c r="S471" s="51">
        <f>VLOOKUP(Alkukysely!$E$4,Keskikesto,2,1)</f>
        <v>0</v>
      </c>
      <c r="Y471">
        <f>IF(E469&gt;0,VLOOKUP(Alkukysely!$E$4,Intensiteettinumero,2,1),VLOOKUP(Alkukysely!$E$4,Kevytnum,2,1))</f>
        <v>0</v>
      </c>
    </row>
    <row r="472" spans="1:25" x14ac:dyDescent="0.25">
      <c r="A472" s="126">
        <f t="shared" ref="A472:A477" si="80">A471+1</f>
        <v>44313</v>
      </c>
      <c r="B472" s="127">
        <f t="shared" si="78"/>
        <v>44313</v>
      </c>
      <c r="C472" s="131" t="str">
        <f>VLOOKUP(Y472,Intensiteettikoodi,2,1)</f>
        <v>Peruskestävyys</v>
      </c>
      <c r="D472" s="120"/>
      <c r="E472" s="144">
        <f>IF(E469&gt;0,ROUND(S472*X477,-1),VLOOKUP(Alkukysely!$E$4,Kevytkesto,3,1))</f>
        <v>60</v>
      </c>
      <c r="F472" s="139">
        <f ca="1">VLOOKUP(Y472,Intensiteettikoodi,3,1)*Harjoitusalueet!$C$5</f>
        <v>0</v>
      </c>
      <c r="G472" s="139">
        <f ca="1">VLOOKUP(Y472,Intensiteettikoodi,4,1)*Harjoitusalueet!$C$5</f>
        <v>0</v>
      </c>
      <c r="H472" s="140" t="e">
        <f t="shared" ca="1" si="79"/>
        <v>#DIV/0!</v>
      </c>
      <c r="I472" s="141" t="e">
        <f ca="1">TIME(0,0,((2.8/G472)^(1/3))*500)</f>
        <v>#DIV/0!</v>
      </c>
      <c r="R472" s="119"/>
      <c r="S472" s="51">
        <f>VLOOKUP(Alkukysely!$E$4,Keskikesto,3,1)</f>
        <v>50</v>
      </c>
      <c r="Y472">
        <f>IF(E469&gt;0,VLOOKUP(Alkukysely!$E$4,Intensiteettinumero,3,1),VLOOKUP(Alkukysely!$E$4,Kevytnum,3,1))</f>
        <v>2</v>
      </c>
    </row>
    <row r="473" spans="1:25" x14ac:dyDescent="0.25">
      <c r="A473" s="126">
        <f t="shared" si="80"/>
        <v>44314</v>
      </c>
      <c r="B473" s="127">
        <f t="shared" si="78"/>
        <v>44314</v>
      </c>
      <c r="C473" s="131" t="str">
        <f>IF(Y473=4,T473,VLOOKUP(Y473,Intensiteettikoodi,2,1))</f>
        <v>Peruskestävyys</v>
      </c>
      <c r="D473" s="120"/>
      <c r="E473" s="144">
        <f>IF(E469&gt;0,ROUND(S473*X477,-1),VLOOKUP(Alkukysely!$E$4,Kevytkesto,4,1))</f>
        <v>80</v>
      </c>
      <c r="F473" s="212">
        <f ca="1">IF(Alkukysely!$E$4&gt;1,VLOOKUP('Viikko-ohjelma'!A471,Kovat23,11,1),VLOOKUP(Y473,Intensiteettikoodi,3,1)*Harjoitusalueet!$C$5)</f>
        <v>0</v>
      </c>
      <c r="G473" s="212"/>
      <c r="H473" s="213" t="e">
        <f t="shared" ca="1" si="79"/>
        <v>#DIV/0!</v>
      </c>
      <c r="I473" s="214"/>
      <c r="R473" s="119"/>
      <c r="S473" s="51">
        <f>VLOOKUP(Alkukysely!$E$4,Keskikesto,4,1)</f>
        <v>62.5</v>
      </c>
      <c r="T473" t="str">
        <f>IF(Alkukysely!$E$4&gt;1,VLOOKUP('Viikko-ohjelma'!A471,Kovat23,8,1),C473)</f>
        <v>Peruskestävyys</v>
      </c>
      <c r="Y473">
        <f>IF(E469&gt;0,VLOOKUP(Alkukysely!$E$4,Intensiteettinumero,4,1),VLOOKUP(Alkukysely!$E$4,Kevytnum,4,1))</f>
        <v>2</v>
      </c>
    </row>
    <row r="474" spans="1:25" x14ac:dyDescent="0.25">
      <c r="A474" s="126">
        <f t="shared" si="80"/>
        <v>44315</v>
      </c>
      <c r="B474" s="127">
        <f t="shared" si="78"/>
        <v>44315</v>
      </c>
      <c r="C474" s="131" t="str">
        <f>VLOOKUP(Y474,Intensiteettikoodi,2,1)</f>
        <v>Lepo</v>
      </c>
      <c r="D474" s="120" t="str">
        <f>IF(AND(Alkukysely!$F$4&gt;2,E469&gt;0), "Puntti","-")</f>
        <v>-</v>
      </c>
      <c r="E474" s="144">
        <f>IF(E469&gt;0,ROUND(S474*X477,-1),VLOOKUP(Alkukysely!$E$4,Kevytkesto,5,1))</f>
        <v>0</v>
      </c>
      <c r="F474" s="139">
        <f ca="1">VLOOKUP(Y474,Intensiteettikoodi,3,1)*Harjoitusalueet!$C$5</f>
        <v>0</v>
      </c>
      <c r="G474" s="139">
        <f ca="1">VLOOKUP(Y474,Intensiteettikoodi,4,1)*Harjoitusalueet!$C$5</f>
        <v>0</v>
      </c>
      <c r="H474" s="140" t="e">
        <f t="shared" ca="1" si="79"/>
        <v>#DIV/0!</v>
      </c>
      <c r="I474" s="141" t="e">
        <f ca="1">TIME(0,0,((2.8/G474)^(1/3))*500)</f>
        <v>#DIV/0!</v>
      </c>
      <c r="R474" s="119"/>
      <c r="S474" s="51">
        <f>VLOOKUP(Alkukysely!$E$4,Keskikesto,5,1)</f>
        <v>0</v>
      </c>
      <c r="X474" s="46"/>
      <c r="Y474">
        <f>IF(E469&gt;0,VLOOKUP(Alkukysely!$E$4,Intensiteettinumero,5,1),VLOOKUP(Alkukysely!$E$4,Kevytnum,5,1))</f>
        <v>0</v>
      </c>
    </row>
    <row r="475" spans="1:25" x14ac:dyDescent="0.25">
      <c r="A475" s="126">
        <f t="shared" si="80"/>
        <v>44316</v>
      </c>
      <c r="B475" s="127">
        <f t="shared" si="78"/>
        <v>44316</v>
      </c>
      <c r="C475" s="131" t="str">
        <f>VLOOKUP(Y475,Intensiteettikoodi,2,1)</f>
        <v>Lepo</v>
      </c>
      <c r="D475" s="120"/>
      <c r="E475" s="144">
        <f>IF(E469&gt;0,ROUND(S475*X477,-1),VLOOKUP(Alkukysely!$E$4,Kevytkesto,6,1))</f>
        <v>0</v>
      </c>
      <c r="F475" s="139">
        <f ca="1">VLOOKUP(Y475,Intensiteettikoodi,3,1)*Harjoitusalueet!$C$5</f>
        <v>0</v>
      </c>
      <c r="G475" s="139">
        <f ca="1">VLOOKUP(Y475,Intensiteettikoodi,4,1)*Harjoitusalueet!$C$5</f>
        <v>0</v>
      </c>
      <c r="H475" s="140" t="e">
        <f t="shared" ca="1" si="79"/>
        <v>#DIV/0!</v>
      </c>
      <c r="I475" s="141" t="e">
        <f ca="1">TIME(0,0,((2.8/G475)^(1/3))*500)</f>
        <v>#DIV/0!</v>
      </c>
      <c r="R475" s="119"/>
      <c r="S475" s="51">
        <f>VLOOKUP(Alkukysely!$E$4,Keskikesto,6,1)</f>
        <v>0</v>
      </c>
      <c r="X475" s="46"/>
      <c r="Y475">
        <f>IF(E469&gt;0,VLOOKUP(Alkukysely!$E$4,Intensiteettinumero,6,1),VLOOKUP(Alkukysely!$E$4,Kevytnum,6,1))</f>
        <v>0</v>
      </c>
    </row>
    <row r="476" spans="1:25" x14ac:dyDescent="0.25">
      <c r="A476" s="126">
        <f t="shared" si="80"/>
        <v>44317</v>
      </c>
      <c r="B476" s="127">
        <f t="shared" si="78"/>
        <v>44317</v>
      </c>
      <c r="C476" s="131" t="str">
        <f>IF(Y476=4,T476,VLOOKUP(Y476,Intensiteettikoodi,2,1))</f>
        <v>4x8min/2min</v>
      </c>
      <c r="D476" s="120"/>
      <c r="E476" s="144">
        <f>IF(E469&gt;0,ROUND(S476*X477,-1),VLOOKUP(Alkukysely!$E$4,Kevytkesto,7,1))</f>
        <v>80</v>
      </c>
      <c r="F476" s="212">
        <f ca="1">IF(Alkukysely!$E$4&gt;1,VLOOKUP('Viikko-ohjelma'!A471,Kovat23,24,1),VLOOKUP(A471,Kovat1,11,1))</f>
        <v>0</v>
      </c>
      <c r="G476" s="212"/>
      <c r="H476" s="213" t="e">
        <f t="shared" ca="1" si="79"/>
        <v>#DIV/0!</v>
      </c>
      <c r="I476" s="214"/>
      <c r="R476" s="119"/>
      <c r="S476" s="51">
        <f>VLOOKUP(Alkukysely!$E$4,Keskikesto,7,1)</f>
        <v>67.5</v>
      </c>
      <c r="T476" t="str">
        <f>IF(Alkukysely!$E$4&gt;1,VLOOKUP('Viikko-ohjelma'!A471,Kovat23,21,1),VLOOKUP(A471,Kovat1,8,1))</f>
        <v>4x8min/2min</v>
      </c>
      <c r="Y476">
        <f>IF(E469&gt;0,VLOOKUP(Alkukysely!$E$4,Intensiteettinumero,7,1),VLOOKUP(Alkukysely!$E$4,Kevytnum,7,1))</f>
        <v>4</v>
      </c>
    </row>
    <row r="477" spans="1:25" ht="22.5" customHeight="1" x14ac:dyDescent="0.25">
      <c r="A477" s="126">
        <f t="shared" si="80"/>
        <v>44318</v>
      </c>
      <c r="B477" s="127">
        <f t="shared" si="78"/>
        <v>44318</v>
      </c>
      <c r="C477" s="131" t="str">
        <f>VLOOKUP(Y477,Intensiteettikoodi,2,1)</f>
        <v>Pitkä peruskestävyys</v>
      </c>
      <c r="D477" s="120"/>
      <c r="E477" s="144">
        <f>IF(E469&gt;0,ROUND(S477*X477,-1),VLOOKUP(Alkukysely!$E$4,Kevytkesto,8,1))</f>
        <v>140</v>
      </c>
      <c r="F477" s="139">
        <f ca="1">VLOOKUP(Y477,Intensiteettikoodi,3,1)*Harjoitusalueet!$C$5</f>
        <v>0</v>
      </c>
      <c r="G477" s="139">
        <f ca="1">VLOOKUP(Y477,Intensiteettikoodi,4,1)*Harjoitusalueet!$C$5</f>
        <v>0</v>
      </c>
      <c r="H477" s="140" t="e">
        <f t="shared" ca="1" si="79"/>
        <v>#DIV/0!</v>
      </c>
      <c r="I477" s="141" t="e">
        <f ca="1">TIME(0,0,((2.8/G477)^(1/3))*500)</f>
        <v>#DIV/0!</v>
      </c>
      <c r="R477" s="119"/>
      <c r="S477" s="51">
        <f>VLOOKUP(Alkukysely!$E$4,Keskikesto,8,1)</f>
        <v>120</v>
      </c>
      <c r="V477">
        <f>VLOOKUP(A471,Kausisuunnitelma,7,1)</f>
        <v>6.0000000000000009</v>
      </c>
      <c r="W477">
        <f>VLOOKUP(Alkukysely!$E$4,Keskikesto,10)</f>
        <v>5</v>
      </c>
      <c r="X477">
        <f>V477/W477</f>
        <v>1.2000000000000002</v>
      </c>
      <c r="Y477">
        <f>IF(E469&gt;0,VLOOKUP(Alkukysely!$E$4,Intensiteettinumero,8,1),VLOOKUP(Alkukysely!$E$4,Kevytnum,8,1))</f>
        <v>3</v>
      </c>
    </row>
    <row r="478" spans="1:25" ht="15" customHeight="1" x14ac:dyDescent="0.25">
      <c r="A478" s="193" t="s">
        <v>207</v>
      </c>
      <c r="B478" s="194"/>
      <c r="C478" s="194"/>
      <c r="D478" s="194"/>
      <c r="E478" s="194"/>
      <c r="F478" s="195"/>
      <c r="G478" s="196" t="s">
        <v>208</v>
      </c>
      <c r="H478" s="197"/>
      <c r="I478" s="198"/>
    </row>
    <row r="479" spans="1:25" ht="18" customHeight="1" x14ac:dyDescent="0.25">
      <c r="A479" s="180" t="str">
        <f>C473</f>
        <v>Peruskestävyys</v>
      </c>
      <c r="B479" s="181"/>
      <c r="C479" s="181"/>
      <c r="D479" s="181"/>
      <c r="E479" s="181"/>
      <c r="F479" s="202"/>
      <c r="G479" s="199"/>
      <c r="H479" s="200"/>
      <c r="I479" s="201"/>
    </row>
    <row r="480" spans="1:25" ht="22.5" customHeight="1" x14ac:dyDescent="0.25">
      <c r="A480" s="184" t="str">
        <f>IF(Alkukysely!$E$4&gt;1,VLOOKUP(A471,Kovat23,34,1),"-")</f>
        <v>-</v>
      </c>
      <c r="B480" s="184"/>
      <c r="C480" s="184"/>
      <c r="D480" s="184"/>
      <c r="E480" s="184"/>
      <c r="F480" s="203"/>
      <c r="G480" s="183" t="str">
        <f>IF(Alkukysely!$E$4&gt;1,VLOOKUP(A471,Kovat23,35,1),"-")</f>
        <v>-</v>
      </c>
      <c r="H480" s="184"/>
      <c r="I480" s="185"/>
    </row>
    <row r="481" spans="1:9" ht="27" customHeight="1" x14ac:dyDescent="0.25">
      <c r="A481" s="184"/>
      <c r="B481" s="184"/>
      <c r="C481" s="184"/>
      <c r="D481" s="184"/>
      <c r="E481" s="184"/>
      <c r="F481" s="203"/>
      <c r="G481" s="183"/>
      <c r="H481" s="184"/>
      <c r="I481" s="185"/>
    </row>
    <row r="482" spans="1:9" ht="27.75" customHeight="1" thickBot="1" x14ac:dyDescent="0.3">
      <c r="A482" s="204"/>
      <c r="B482" s="204"/>
      <c r="C482" s="204"/>
      <c r="D482" s="204"/>
      <c r="E482" s="204"/>
      <c r="F482" s="205"/>
      <c r="G482" s="206"/>
      <c r="H482" s="207"/>
      <c r="I482" s="208"/>
    </row>
    <row r="483" spans="1:9" ht="16.5" customHeight="1" thickTop="1" thickBot="1" x14ac:dyDescent="0.3">
      <c r="A483" s="180" t="str">
        <f>C476</f>
        <v>4x8min/2min</v>
      </c>
      <c r="B483" s="181"/>
      <c r="C483" s="181"/>
      <c r="D483" s="181"/>
      <c r="E483" s="181"/>
      <c r="F483" s="182"/>
      <c r="G483" s="183">
        <f>IF(Alkukysely!$E$4&gt;1,VLOOKUP(A471,Kovat23,37,1),VLOOKUP(A471,Kovat1,35,1))</f>
        <v>0</v>
      </c>
      <c r="H483" s="184"/>
      <c r="I483" s="185"/>
    </row>
    <row r="484" spans="1:9" ht="19.5" customHeight="1" thickTop="1" thickBot="1" x14ac:dyDescent="0.3">
      <c r="A484" s="189" t="str">
        <f>IF(Alkukysely!$E$4&gt;1,VLOOKUP(A471,Kovat23,36,1),VLOOKUP(A471,Kovat1,34,1))</f>
        <v>Vedoissa taas anaerobisen kynnyksen tuntumaan.</v>
      </c>
      <c r="B484" s="190"/>
      <c r="C484" s="190"/>
      <c r="D484" s="190"/>
      <c r="E484" s="190"/>
      <c r="F484" s="190"/>
      <c r="G484" s="183"/>
      <c r="H484" s="184"/>
      <c r="I484" s="185"/>
    </row>
    <row r="485" spans="1:9" ht="18" customHeight="1" thickTop="1" thickBot="1" x14ac:dyDescent="0.3">
      <c r="A485" s="189"/>
      <c r="B485" s="190"/>
      <c r="C485" s="190"/>
      <c r="D485" s="190"/>
      <c r="E485" s="190"/>
      <c r="F485" s="190"/>
      <c r="G485" s="183"/>
      <c r="H485" s="184"/>
      <c r="I485" s="185"/>
    </row>
    <row r="486" spans="1:9" ht="37.5" customHeight="1" thickTop="1" thickBot="1" x14ac:dyDescent="0.3">
      <c r="A486" s="191"/>
      <c r="B486" s="192"/>
      <c r="C486" s="192"/>
      <c r="D486" s="192"/>
      <c r="E486" s="192"/>
      <c r="F486" s="192"/>
      <c r="G486" s="186"/>
      <c r="H486" s="187"/>
      <c r="I486" s="188"/>
    </row>
  </sheetData>
  <scenarios current="0" show="0">
    <scenario name="Viikontreenimäärä" locked="1" count="7" user="Lehtonen Elias" comment="Created by Lehtonen Elias on 18.10.2018">
      <inputCells r="E3" val="77.3026315789474"/>
      <inputCells r="E4" val="115.953947368421"/>
      <inputCells r="E5" val="115.953947368421"/>
      <inputCells r="E6" val="61.8421052631579"/>
      <inputCells r="E7" val="77.3026315789474"/>
      <inputCells r="E8" val="123.684210526316"/>
      <inputCells r="E9" val="139.144736842105"/>
    </scenario>
  </scenarios>
  <mergeCells count="378">
    <mergeCell ref="F1:G1"/>
    <mergeCell ref="H1:I1"/>
    <mergeCell ref="H5:I5"/>
    <mergeCell ref="H8:I8"/>
    <mergeCell ref="G28:I29"/>
    <mergeCell ref="A29:F29"/>
    <mergeCell ref="A30:F32"/>
    <mergeCell ref="G30:I32"/>
    <mergeCell ref="A33:F33"/>
    <mergeCell ref="G33:I36"/>
    <mergeCell ref="A34:F36"/>
    <mergeCell ref="F5:G5"/>
    <mergeCell ref="F8:G8"/>
    <mergeCell ref="A15:F15"/>
    <mergeCell ref="A16:F18"/>
    <mergeCell ref="A10:F10"/>
    <mergeCell ref="A11:F11"/>
    <mergeCell ref="A12:F14"/>
    <mergeCell ref="G15:I18"/>
    <mergeCell ref="A28:F28"/>
    <mergeCell ref="F19:G19"/>
    <mergeCell ref="G12:I14"/>
    <mergeCell ref="G10:I11"/>
    <mergeCell ref="H19:I19"/>
    <mergeCell ref="F23:G23"/>
    <mergeCell ref="H23:I23"/>
    <mergeCell ref="F26:G26"/>
    <mergeCell ref="H26:I26"/>
    <mergeCell ref="A46:F46"/>
    <mergeCell ref="G46:I47"/>
    <mergeCell ref="A47:F47"/>
    <mergeCell ref="A48:F50"/>
    <mergeCell ref="G48:I50"/>
    <mergeCell ref="F37:G37"/>
    <mergeCell ref="H37:I37"/>
    <mergeCell ref="F41:G41"/>
    <mergeCell ref="H41:I41"/>
    <mergeCell ref="F44:G44"/>
    <mergeCell ref="H44:I44"/>
    <mergeCell ref="F59:G59"/>
    <mergeCell ref="H59:I59"/>
    <mergeCell ref="F62:G62"/>
    <mergeCell ref="H62:I62"/>
    <mergeCell ref="A64:F64"/>
    <mergeCell ref="G64:I65"/>
    <mergeCell ref="A65:F65"/>
    <mergeCell ref="A51:F51"/>
    <mergeCell ref="G51:I54"/>
    <mergeCell ref="A52:F54"/>
    <mergeCell ref="F55:G55"/>
    <mergeCell ref="H55:I55"/>
    <mergeCell ref="F73:G73"/>
    <mergeCell ref="H73:I73"/>
    <mergeCell ref="F77:G77"/>
    <mergeCell ref="H77:I77"/>
    <mergeCell ref="F80:G80"/>
    <mergeCell ref="H80:I80"/>
    <mergeCell ref="A66:F68"/>
    <mergeCell ref="G66:I68"/>
    <mergeCell ref="A69:F69"/>
    <mergeCell ref="G69:I72"/>
    <mergeCell ref="A70:F72"/>
    <mergeCell ref="A87:F87"/>
    <mergeCell ref="G87:I90"/>
    <mergeCell ref="A88:F90"/>
    <mergeCell ref="F91:G91"/>
    <mergeCell ref="H91:I91"/>
    <mergeCell ref="A82:F82"/>
    <mergeCell ref="G82:I83"/>
    <mergeCell ref="A83:F83"/>
    <mergeCell ref="A84:F86"/>
    <mergeCell ref="G84:I86"/>
    <mergeCell ref="A102:F104"/>
    <mergeCell ref="G102:I104"/>
    <mergeCell ref="A105:F105"/>
    <mergeCell ref="G105:I108"/>
    <mergeCell ref="A106:F108"/>
    <mergeCell ref="F95:G95"/>
    <mergeCell ref="H95:I95"/>
    <mergeCell ref="F98:G98"/>
    <mergeCell ref="H98:I98"/>
    <mergeCell ref="A100:F100"/>
    <mergeCell ref="G100:I101"/>
    <mergeCell ref="A101:F101"/>
    <mergeCell ref="A118:F118"/>
    <mergeCell ref="G118:I119"/>
    <mergeCell ref="A119:F119"/>
    <mergeCell ref="A120:F122"/>
    <mergeCell ref="G120:I122"/>
    <mergeCell ref="F109:G109"/>
    <mergeCell ref="H109:I109"/>
    <mergeCell ref="F113:G113"/>
    <mergeCell ref="H113:I113"/>
    <mergeCell ref="F116:G116"/>
    <mergeCell ref="H116:I116"/>
    <mergeCell ref="F131:G131"/>
    <mergeCell ref="H131:I131"/>
    <mergeCell ref="F134:G134"/>
    <mergeCell ref="H134:I134"/>
    <mergeCell ref="A136:F136"/>
    <mergeCell ref="G136:I137"/>
    <mergeCell ref="A137:F137"/>
    <mergeCell ref="A123:F123"/>
    <mergeCell ref="G123:I126"/>
    <mergeCell ref="A124:F126"/>
    <mergeCell ref="F127:G127"/>
    <mergeCell ref="H127:I127"/>
    <mergeCell ref="F145:G145"/>
    <mergeCell ref="H145:I145"/>
    <mergeCell ref="F149:G149"/>
    <mergeCell ref="H149:I149"/>
    <mergeCell ref="F152:G152"/>
    <mergeCell ref="H152:I152"/>
    <mergeCell ref="A138:F140"/>
    <mergeCell ref="G138:I140"/>
    <mergeCell ref="A141:F141"/>
    <mergeCell ref="G141:I144"/>
    <mergeCell ref="A142:F144"/>
    <mergeCell ref="A159:F159"/>
    <mergeCell ref="G159:I162"/>
    <mergeCell ref="A160:F162"/>
    <mergeCell ref="F163:G163"/>
    <mergeCell ref="H163:I163"/>
    <mergeCell ref="A154:F154"/>
    <mergeCell ref="G154:I155"/>
    <mergeCell ref="A155:F155"/>
    <mergeCell ref="A156:F158"/>
    <mergeCell ref="G156:I158"/>
    <mergeCell ref="A174:F176"/>
    <mergeCell ref="G174:I176"/>
    <mergeCell ref="A177:F177"/>
    <mergeCell ref="G177:I180"/>
    <mergeCell ref="A178:F180"/>
    <mergeCell ref="F167:G167"/>
    <mergeCell ref="H167:I167"/>
    <mergeCell ref="F170:G170"/>
    <mergeCell ref="H170:I170"/>
    <mergeCell ref="A172:F172"/>
    <mergeCell ref="G172:I173"/>
    <mergeCell ref="A173:F173"/>
    <mergeCell ref="A190:F190"/>
    <mergeCell ref="G190:I191"/>
    <mergeCell ref="A191:F191"/>
    <mergeCell ref="A192:F194"/>
    <mergeCell ref="G192:I194"/>
    <mergeCell ref="F181:G181"/>
    <mergeCell ref="H181:I181"/>
    <mergeCell ref="F185:G185"/>
    <mergeCell ref="H185:I185"/>
    <mergeCell ref="F188:G188"/>
    <mergeCell ref="H188:I188"/>
    <mergeCell ref="F203:G203"/>
    <mergeCell ref="H203:I203"/>
    <mergeCell ref="F206:G206"/>
    <mergeCell ref="H206:I206"/>
    <mergeCell ref="A208:F208"/>
    <mergeCell ref="G208:I209"/>
    <mergeCell ref="A209:F209"/>
    <mergeCell ref="A195:F195"/>
    <mergeCell ref="G195:I198"/>
    <mergeCell ref="A196:F198"/>
    <mergeCell ref="F199:G199"/>
    <mergeCell ref="H199:I199"/>
    <mergeCell ref="F217:G217"/>
    <mergeCell ref="H217:I217"/>
    <mergeCell ref="F221:G221"/>
    <mergeCell ref="H221:I221"/>
    <mergeCell ref="F224:G224"/>
    <mergeCell ref="H224:I224"/>
    <mergeCell ref="A210:F212"/>
    <mergeCell ref="G210:I212"/>
    <mergeCell ref="A213:F213"/>
    <mergeCell ref="G213:I216"/>
    <mergeCell ref="A214:F216"/>
    <mergeCell ref="A231:F231"/>
    <mergeCell ref="G231:I234"/>
    <mergeCell ref="A232:F234"/>
    <mergeCell ref="F235:G235"/>
    <mergeCell ref="H235:I235"/>
    <mergeCell ref="A226:F226"/>
    <mergeCell ref="G226:I227"/>
    <mergeCell ref="A227:F227"/>
    <mergeCell ref="A228:F230"/>
    <mergeCell ref="G228:I230"/>
    <mergeCell ref="A246:F248"/>
    <mergeCell ref="G246:I248"/>
    <mergeCell ref="A249:F249"/>
    <mergeCell ref="G249:I252"/>
    <mergeCell ref="A250:F252"/>
    <mergeCell ref="F239:G239"/>
    <mergeCell ref="H239:I239"/>
    <mergeCell ref="F242:G242"/>
    <mergeCell ref="H242:I242"/>
    <mergeCell ref="A244:F244"/>
    <mergeCell ref="G244:I245"/>
    <mergeCell ref="A245:F245"/>
    <mergeCell ref="A262:F262"/>
    <mergeCell ref="G262:I263"/>
    <mergeCell ref="A263:F263"/>
    <mergeCell ref="A264:F266"/>
    <mergeCell ref="G264:I266"/>
    <mergeCell ref="F253:G253"/>
    <mergeCell ref="H253:I253"/>
    <mergeCell ref="F257:G257"/>
    <mergeCell ref="H257:I257"/>
    <mergeCell ref="F260:G260"/>
    <mergeCell ref="H260:I260"/>
    <mergeCell ref="F275:G275"/>
    <mergeCell ref="H275:I275"/>
    <mergeCell ref="F278:G278"/>
    <mergeCell ref="H278:I278"/>
    <mergeCell ref="A280:F280"/>
    <mergeCell ref="G280:I281"/>
    <mergeCell ref="A281:F281"/>
    <mergeCell ref="A267:F267"/>
    <mergeCell ref="G267:I270"/>
    <mergeCell ref="A268:F270"/>
    <mergeCell ref="F271:G271"/>
    <mergeCell ref="H271:I271"/>
    <mergeCell ref="F289:G289"/>
    <mergeCell ref="H289:I289"/>
    <mergeCell ref="F293:G293"/>
    <mergeCell ref="H293:I293"/>
    <mergeCell ref="F296:G296"/>
    <mergeCell ref="H296:I296"/>
    <mergeCell ref="A282:F284"/>
    <mergeCell ref="G282:I284"/>
    <mergeCell ref="A285:F285"/>
    <mergeCell ref="G285:I288"/>
    <mergeCell ref="A286:F288"/>
    <mergeCell ref="A303:F303"/>
    <mergeCell ref="G303:I306"/>
    <mergeCell ref="A304:F306"/>
    <mergeCell ref="F307:G307"/>
    <mergeCell ref="H307:I307"/>
    <mergeCell ref="A298:F298"/>
    <mergeCell ref="G298:I299"/>
    <mergeCell ref="A299:F299"/>
    <mergeCell ref="A300:F302"/>
    <mergeCell ref="G300:I302"/>
    <mergeCell ref="A318:F320"/>
    <mergeCell ref="G318:I320"/>
    <mergeCell ref="A321:F321"/>
    <mergeCell ref="G321:I324"/>
    <mergeCell ref="A322:F324"/>
    <mergeCell ref="F311:G311"/>
    <mergeCell ref="H311:I311"/>
    <mergeCell ref="F314:G314"/>
    <mergeCell ref="H314:I314"/>
    <mergeCell ref="A316:F316"/>
    <mergeCell ref="G316:I317"/>
    <mergeCell ref="A317:F317"/>
    <mergeCell ref="A334:F334"/>
    <mergeCell ref="G334:I335"/>
    <mergeCell ref="A335:F335"/>
    <mergeCell ref="A336:F338"/>
    <mergeCell ref="G336:I338"/>
    <mergeCell ref="F325:G325"/>
    <mergeCell ref="H325:I325"/>
    <mergeCell ref="F329:G329"/>
    <mergeCell ref="H329:I329"/>
    <mergeCell ref="F332:G332"/>
    <mergeCell ref="H332:I332"/>
    <mergeCell ref="F347:G347"/>
    <mergeCell ref="H347:I347"/>
    <mergeCell ref="F350:G350"/>
    <mergeCell ref="H350:I350"/>
    <mergeCell ref="A352:F352"/>
    <mergeCell ref="G352:I353"/>
    <mergeCell ref="A353:F353"/>
    <mergeCell ref="A339:F339"/>
    <mergeCell ref="G339:I342"/>
    <mergeCell ref="A340:F342"/>
    <mergeCell ref="F343:G343"/>
    <mergeCell ref="H343:I343"/>
    <mergeCell ref="F361:G361"/>
    <mergeCell ref="H361:I361"/>
    <mergeCell ref="F365:G365"/>
    <mergeCell ref="H365:I365"/>
    <mergeCell ref="F368:G368"/>
    <mergeCell ref="H368:I368"/>
    <mergeCell ref="A354:F356"/>
    <mergeCell ref="G354:I356"/>
    <mergeCell ref="A357:F357"/>
    <mergeCell ref="G357:I360"/>
    <mergeCell ref="A358:F360"/>
    <mergeCell ref="A375:F375"/>
    <mergeCell ref="G375:I378"/>
    <mergeCell ref="A376:F378"/>
    <mergeCell ref="F379:G379"/>
    <mergeCell ref="H379:I379"/>
    <mergeCell ref="A370:F370"/>
    <mergeCell ref="G370:I371"/>
    <mergeCell ref="A371:F371"/>
    <mergeCell ref="A372:F374"/>
    <mergeCell ref="G372:I374"/>
    <mergeCell ref="A390:F392"/>
    <mergeCell ref="G390:I392"/>
    <mergeCell ref="A393:F393"/>
    <mergeCell ref="G393:I396"/>
    <mergeCell ref="A394:F396"/>
    <mergeCell ref="F383:G383"/>
    <mergeCell ref="H383:I383"/>
    <mergeCell ref="F386:G386"/>
    <mergeCell ref="H386:I386"/>
    <mergeCell ref="A388:F388"/>
    <mergeCell ref="G388:I389"/>
    <mergeCell ref="A389:F389"/>
    <mergeCell ref="A406:F406"/>
    <mergeCell ref="G406:I407"/>
    <mergeCell ref="A407:F407"/>
    <mergeCell ref="A408:F410"/>
    <mergeCell ref="G408:I410"/>
    <mergeCell ref="F397:G397"/>
    <mergeCell ref="H397:I397"/>
    <mergeCell ref="F401:G401"/>
    <mergeCell ref="H401:I401"/>
    <mergeCell ref="F404:G404"/>
    <mergeCell ref="H404:I404"/>
    <mergeCell ref="F419:G419"/>
    <mergeCell ref="H419:I419"/>
    <mergeCell ref="F422:G422"/>
    <mergeCell ref="H422:I422"/>
    <mergeCell ref="A424:F424"/>
    <mergeCell ref="G424:I425"/>
    <mergeCell ref="A425:F425"/>
    <mergeCell ref="A411:F411"/>
    <mergeCell ref="G411:I414"/>
    <mergeCell ref="A412:F414"/>
    <mergeCell ref="F415:G415"/>
    <mergeCell ref="H415:I415"/>
    <mergeCell ref="F433:G433"/>
    <mergeCell ref="H433:I433"/>
    <mergeCell ref="F437:G437"/>
    <mergeCell ref="H437:I437"/>
    <mergeCell ref="F440:G440"/>
    <mergeCell ref="H440:I440"/>
    <mergeCell ref="A426:F428"/>
    <mergeCell ref="G426:I428"/>
    <mergeCell ref="A429:F429"/>
    <mergeCell ref="G429:I432"/>
    <mergeCell ref="A430:F432"/>
    <mergeCell ref="A447:F447"/>
    <mergeCell ref="G447:I450"/>
    <mergeCell ref="A448:F450"/>
    <mergeCell ref="F451:G451"/>
    <mergeCell ref="H451:I451"/>
    <mergeCell ref="A442:F442"/>
    <mergeCell ref="G442:I443"/>
    <mergeCell ref="A443:F443"/>
    <mergeCell ref="A444:F446"/>
    <mergeCell ref="G444:I446"/>
    <mergeCell ref="A462:F464"/>
    <mergeCell ref="G462:I464"/>
    <mergeCell ref="A465:F465"/>
    <mergeCell ref="G465:I468"/>
    <mergeCell ref="A466:F468"/>
    <mergeCell ref="F455:G455"/>
    <mergeCell ref="H455:I455"/>
    <mergeCell ref="F458:G458"/>
    <mergeCell ref="H458:I458"/>
    <mergeCell ref="A460:F460"/>
    <mergeCell ref="G460:I461"/>
    <mergeCell ref="A461:F461"/>
    <mergeCell ref="A483:F483"/>
    <mergeCell ref="G483:I486"/>
    <mergeCell ref="A484:F486"/>
    <mergeCell ref="A478:F478"/>
    <mergeCell ref="G478:I479"/>
    <mergeCell ref="A479:F479"/>
    <mergeCell ref="A480:F482"/>
    <mergeCell ref="G480:I482"/>
    <mergeCell ref="F469:G469"/>
    <mergeCell ref="H469:I469"/>
    <mergeCell ref="F473:G473"/>
    <mergeCell ref="H473:I473"/>
    <mergeCell ref="F476:G476"/>
    <mergeCell ref="H476:I476"/>
  </mergeCells>
  <pageMargins left="0.7" right="0.7" top="0.75" bottom="0.75" header="0.3" footer="0.3"/>
  <pageSetup paperSize="9" orientation="portrait" horizontalDpi="300" verticalDpi="300"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82"/>
  <sheetViews>
    <sheetView topLeftCell="C1" workbookViewId="0">
      <selection activeCell="M11" sqref="M11"/>
    </sheetView>
  </sheetViews>
  <sheetFormatPr defaultColWidth="11" defaultRowHeight="15.75" x14ac:dyDescent="0.25"/>
  <cols>
    <col min="2" max="2" width="29" customWidth="1"/>
    <col min="3" max="3" width="12.375" bestFit="1" customWidth="1"/>
    <col min="4" max="4" width="18.625" customWidth="1"/>
    <col min="5" max="5" width="16.5" customWidth="1"/>
    <col min="6" max="6" width="16.625" customWidth="1"/>
    <col min="7" max="7" width="19" customWidth="1"/>
    <col min="8" max="8" width="17.625" customWidth="1"/>
    <col min="9" max="9" width="18.125" customWidth="1"/>
    <col min="10" max="11" width="17.625" customWidth="1"/>
    <col min="12" max="12" width="39" customWidth="1"/>
    <col min="13" max="13" width="29.5" customWidth="1"/>
    <col min="14" max="14" width="13.125" customWidth="1"/>
  </cols>
  <sheetData>
    <row r="1" spans="2:13" x14ac:dyDescent="0.25">
      <c r="D1" s="215" t="s">
        <v>43</v>
      </c>
      <c r="E1" s="215"/>
      <c r="F1" s="215"/>
    </row>
    <row r="2" spans="2:13" x14ac:dyDescent="0.25">
      <c r="D2" s="215"/>
      <c r="E2" s="215"/>
      <c r="F2" s="215"/>
    </row>
    <row r="3" spans="2:13" x14ac:dyDescent="0.25">
      <c r="D3" s="215"/>
      <c r="E3" s="215"/>
      <c r="F3" s="215"/>
    </row>
    <row r="4" spans="2:13" x14ac:dyDescent="0.25">
      <c r="B4" s="1"/>
      <c r="C4" s="23">
        <f ca="1">TODAY()</f>
        <v>44221</v>
      </c>
    </row>
    <row r="5" spans="2:13" x14ac:dyDescent="0.25">
      <c r="B5" s="3" t="s">
        <v>42</v>
      </c>
      <c r="C5" s="3">
        <f ca="1">VLOOKUP(C4,Kynnys,3,TRUE)</f>
        <v>0</v>
      </c>
      <c r="D5" s="48" t="s">
        <v>41</v>
      </c>
      <c r="E5" s="2"/>
      <c r="G5" s="1"/>
    </row>
    <row r="6" spans="2:13" x14ac:dyDescent="0.25">
      <c r="B6" s="2" t="s">
        <v>6</v>
      </c>
      <c r="C6" s="4" t="s">
        <v>0</v>
      </c>
      <c r="D6" s="5" t="s">
        <v>1</v>
      </c>
      <c r="E6" s="6" t="s">
        <v>2</v>
      </c>
      <c r="F6" s="7" t="s">
        <v>3</v>
      </c>
      <c r="G6" s="8" t="s">
        <v>4</v>
      </c>
      <c r="H6" s="9" t="s">
        <v>5</v>
      </c>
    </row>
    <row r="7" spans="2:13" x14ac:dyDescent="0.25">
      <c r="B7" t="s">
        <v>7</v>
      </c>
      <c r="C7" s="10">
        <f ca="1">0.5*C5</f>
        <v>0</v>
      </c>
      <c r="D7" s="11">
        <f ca="1">0.6*C5</f>
        <v>0</v>
      </c>
      <c r="E7" s="12">
        <f ca="1">0.75*C5</f>
        <v>0</v>
      </c>
      <c r="F7" s="13">
        <f ca="1">0.9*C5</f>
        <v>0</v>
      </c>
      <c r="G7" s="14">
        <f ca="1">1.05*C5</f>
        <v>0</v>
      </c>
      <c r="H7" s="15">
        <f ca="1">G8</f>
        <v>0</v>
      </c>
      <c r="I7" s="24" t="e">
        <f ca="1">VLOOKUP(C4,Kynnys,9,TRUE)</f>
        <v>#DIV/0!</v>
      </c>
      <c r="J7" t="e">
        <f ca="1">VLOOKUP(C4,Kynnys,10,TRUE)</f>
        <v>#DIV/0!</v>
      </c>
      <c r="L7" s="2" t="s">
        <v>239</v>
      </c>
    </row>
    <row r="8" spans="2:13" x14ac:dyDescent="0.25">
      <c r="B8" t="s">
        <v>8</v>
      </c>
      <c r="C8" s="16">
        <f ca="1">0.6*C5</f>
        <v>0</v>
      </c>
      <c r="D8" s="17">
        <f ca="1">0.75*C5</f>
        <v>0</v>
      </c>
      <c r="E8" s="18">
        <f ca="1">0.9*C5</f>
        <v>0</v>
      </c>
      <c r="F8" s="19">
        <f ca="1">1.05*C5</f>
        <v>0</v>
      </c>
      <c r="G8" s="20">
        <f ca="1">D37</f>
        <v>0</v>
      </c>
      <c r="H8" s="21">
        <f ca="1">D27</f>
        <v>0</v>
      </c>
      <c r="I8" s="2" t="s">
        <v>32</v>
      </c>
      <c r="J8" t="s">
        <v>33</v>
      </c>
      <c r="K8" s="2" t="s">
        <v>34</v>
      </c>
      <c r="L8" s="2" t="s">
        <v>35</v>
      </c>
      <c r="M8" s="45" t="s">
        <v>37</v>
      </c>
    </row>
    <row r="9" spans="2:13" x14ac:dyDescent="0.25">
      <c r="B9" s="2"/>
      <c r="I9" s="24">
        <v>500</v>
      </c>
      <c r="J9" s="46" t="e">
        <f ca="1">$I$7*(1/I9)+$J$7</f>
        <v>#DIV/0!</v>
      </c>
      <c r="K9" s="40" t="e">
        <f ca="1">TIME(0,0,1/(J9/I9))</f>
        <v>#DIV/0!</v>
      </c>
      <c r="L9" s="26" t="e">
        <f ca="1">K9/(I9/$I$9)</f>
        <v>#DIV/0!</v>
      </c>
      <c r="M9" s="1" t="e">
        <f ca="1">2.8/((1/Table2[[#This Row],[Vauhti (m/s)]])^3)</f>
        <v>#DIV/0!</v>
      </c>
    </row>
    <row r="10" spans="2:13" x14ac:dyDescent="0.25">
      <c r="B10" s="2" t="s">
        <v>28</v>
      </c>
      <c r="C10" s="4" t="s">
        <v>0</v>
      </c>
      <c r="D10" s="5" t="s">
        <v>1</v>
      </c>
      <c r="E10" s="6" t="s">
        <v>2</v>
      </c>
      <c r="F10" s="7" t="s">
        <v>3</v>
      </c>
      <c r="G10" s="8" t="s">
        <v>4</v>
      </c>
      <c r="H10" s="9" t="s">
        <v>5</v>
      </c>
      <c r="I10">
        <v>1000</v>
      </c>
      <c r="J10" s="46" t="e">
        <f ca="1">$I$7*(1/I10)+$J$7</f>
        <v>#DIV/0!</v>
      </c>
      <c r="K10" s="40" t="e">
        <f ca="1">TIME(0,0,1/(J10/I10))</f>
        <v>#DIV/0!</v>
      </c>
      <c r="L10" s="26" t="e">
        <f ca="1">K10/(I10/$I$9)</f>
        <v>#DIV/0!</v>
      </c>
      <c r="M10" s="1" t="e">
        <f ca="1">2.8/((1/Table2[[#This Row],[Vauhti (m/s)]])^3)</f>
        <v>#DIV/0!</v>
      </c>
    </row>
    <row r="11" spans="2:13" x14ac:dyDescent="0.25">
      <c r="B11" t="s">
        <v>7</v>
      </c>
      <c r="C11" s="25" t="e">
        <f t="shared" ref="C11:H12" ca="1" si="0">TIME(0,0,((2.8/C7)^(1/3))*500)</f>
        <v>#DIV/0!</v>
      </c>
      <c r="D11" s="28" t="e">
        <f t="shared" ca="1" si="0"/>
        <v>#DIV/0!</v>
      </c>
      <c r="E11" s="29" t="e">
        <f t="shared" ca="1" si="0"/>
        <v>#DIV/0!</v>
      </c>
      <c r="F11" s="30" t="e">
        <f t="shared" ca="1" si="0"/>
        <v>#DIV/0!</v>
      </c>
      <c r="G11" s="31" t="e">
        <f t="shared" ca="1" si="0"/>
        <v>#DIV/0!</v>
      </c>
      <c r="H11" s="32" t="e">
        <f t="shared" ca="1" si="0"/>
        <v>#DIV/0!</v>
      </c>
      <c r="I11">
        <v>2000</v>
      </c>
      <c r="J11" s="46" t="e">
        <f ca="1">$I$7*(1/I11)+$J$7</f>
        <v>#DIV/0!</v>
      </c>
      <c r="K11" s="40" t="e">
        <f ca="1">TIME(0,0,1/(J11/I11))</f>
        <v>#DIV/0!</v>
      </c>
      <c r="L11" s="26" t="e">
        <f ca="1">K11/(I11/$I$9)</f>
        <v>#DIV/0!</v>
      </c>
      <c r="M11" s="1" t="e">
        <f ca="1">2.8/((1/Table2[[#This Row],[Vauhti (m/s)]])^3)</f>
        <v>#DIV/0!</v>
      </c>
    </row>
    <row r="12" spans="2:13" x14ac:dyDescent="0.25">
      <c r="B12" t="s">
        <v>8</v>
      </c>
      <c r="C12" s="25" t="e">
        <f t="shared" ca="1" si="0"/>
        <v>#DIV/0!</v>
      </c>
      <c r="D12" s="33" t="e">
        <f t="shared" ca="1" si="0"/>
        <v>#DIV/0!</v>
      </c>
      <c r="E12" s="34" t="e">
        <f t="shared" ca="1" si="0"/>
        <v>#DIV/0!</v>
      </c>
      <c r="F12" s="35" t="e">
        <f t="shared" ca="1" si="0"/>
        <v>#DIV/0!</v>
      </c>
      <c r="G12" s="36" t="e">
        <f t="shared" ca="1" si="0"/>
        <v>#DIV/0!</v>
      </c>
      <c r="H12" s="37" t="e">
        <f t="shared" ca="1" si="0"/>
        <v>#DIV/0!</v>
      </c>
      <c r="I12">
        <v>5000</v>
      </c>
      <c r="J12" s="46" t="e">
        <f ca="1">$I$7*(1/I12)+$J$7</f>
        <v>#DIV/0!</v>
      </c>
      <c r="K12" s="40" t="e">
        <f ca="1">TIME(0,0,1/(J12/I12))</f>
        <v>#DIV/0!</v>
      </c>
      <c r="L12" s="26" t="e">
        <f ca="1">K12/(I12/$I$9)</f>
        <v>#DIV/0!</v>
      </c>
      <c r="M12" s="1" t="e">
        <f ca="1">2.8/((1/Table2[[#This Row],[Vauhti (m/s)]])^3)</f>
        <v>#DIV/0!</v>
      </c>
    </row>
    <row r="13" spans="2:13" x14ac:dyDescent="0.25">
      <c r="B13" s="1"/>
      <c r="C13" t="s">
        <v>11</v>
      </c>
      <c r="G13" s="1"/>
      <c r="I13">
        <v>10000</v>
      </c>
      <c r="J13" s="46" t="e">
        <f ca="1">$I$7*(1/I13)+$J$7</f>
        <v>#DIV/0!</v>
      </c>
      <c r="K13" s="40" t="e">
        <f ca="1">TIME(0,0,1/(J13/I13))</f>
        <v>#DIV/0!</v>
      </c>
      <c r="L13" s="26" t="e">
        <f ca="1">K13/(I13/$I$9)</f>
        <v>#DIV/0!</v>
      </c>
      <c r="M13" s="1" t="e">
        <f ca="1">2.8/((1/Table2[[#This Row],[Vauhti (m/s)]])^3)</f>
        <v>#DIV/0!</v>
      </c>
    </row>
    <row r="14" spans="2:13" x14ac:dyDescent="0.25">
      <c r="B14" s="3" t="s">
        <v>240</v>
      </c>
      <c r="C14" s="1">
        <f>Kuntoseuranta!M5</f>
        <v>0</v>
      </c>
      <c r="D14" s="22"/>
      <c r="E14" s="2"/>
      <c r="G14" s="1"/>
      <c r="I14" s="47" t="s">
        <v>40</v>
      </c>
      <c r="K14" s="40" t="e">
        <f ca="1">Table2[[#Totals],[Keskivauhti]]*(Table2[[#Totals],[Matka (m)]]/500)</f>
        <v>#DIV/0!</v>
      </c>
      <c r="L14" s="40" t="e">
        <f ca="1">TIME(0,0,((2.8/Table2[[#Totals],[Keskiteho]])^(1/3))*500)</f>
        <v>#DIV/0!</v>
      </c>
      <c r="M14" s="1">
        <f ca="1">0.85*C5</f>
        <v>0</v>
      </c>
    </row>
    <row r="15" spans="2:13" ht="15" customHeight="1" x14ac:dyDescent="0.25">
      <c r="B15" s="2" t="s">
        <v>10</v>
      </c>
      <c r="C15" s="4" t="s">
        <v>0</v>
      </c>
      <c r="D15" s="5" t="s">
        <v>1</v>
      </c>
      <c r="E15" s="6" t="s">
        <v>2</v>
      </c>
      <c r="F15" s="7" t="s">
        <v>3</v>
      </c>
      <c r="G15" s="8" t="s">
        <v>4</v>
      </c>
      <c r="H15" s="9" t="s">
        <v>5</v>
      </c>
      <c r="I15" s="216" t="s">
        <v>235</v>
      </c>
      <c r="J15" s="217"/>
      <c r="K15" s="217"/>
      <c r="L15" s="217"/>
    </row>
    <row r="16" spans="2:13" x14ac:dyDescent="0.25">
      <c r="B16" t="s">
        <v>7</v>
      </c>
      <c r="C16" s="10">
        <f>0.6*C14</f>
        <v>0</v>
      </c>
      <c r="D16" s="11">
        <f>0.65*C14</f>
        <v>0</v>
      </c>
      <c r="E16" s="12">
        <f>0.8*C14</f>
        <v>0</v>
      </c>
      <c r="F16" s="13">
        <f>0.85*C14</f>
        <v>0</v>
      </c>
      <c r="G16" s="14">
        <f>0.9*C14</f>
        <v>0</v>
      </c>
      <c r="H16" s="15">
        <f>0.95*C14</f>
        <v>0</v>
      </c>
      <c r="I16" s="216"/>
      <c r="J16" s="217"/>
      <c r="K16" s="217"/>
      <c r="L16" s="217"/>
    </row>
    <row r="17" spans="2:12" x14ac:dyDescent="0.25">
      <c r="B17" t="s">
        <v>8</v>
      </c>
      <c r="C17" s="16">
        <f>0.7*C14</f>
        <v>0</v>
      </c>
      <c r="D17" s="17">
        <f>0.79*C14</f>
        <v>0</v>
      </c>
      <c r="E17" s="18">
        <f>0.85*C14</f>
        <v>0</v>
      </c>
      <c r="F17" s="19">
        <f>0.9*C14</f>
        <v>0</v>
      </c>
      <c r="G17" s="20">
        <f>0.95*C14</f>
        <v>0</v>
      </c>
      <c r="H17" s="21">
        <f>1*C14</f>
        <v>0</v>
      </c>
      <c r="I17" s="216"/>
      <c r="J17" s="217"/>
      <c r="K17" s="217"/>
      <c r="L17" s="217"/>
    </row>
    <row r="18" spans="2:12" x14ac:dyDescent="0.25">
      <c r="B18" s="2" t="s">
        <v>226</v>
      </c>
      <c r="C18" s="2"/>
      <c r="D18" s="2"/>
    </row>
    <row r="19" spans="2:12" x14ac:dyDescent="0.25">
      <c r="B19" s="27">
        <f ca="1">VLOOKUP(C4,Kynnys,4,1)</f>
        <v>0</v>
      </c>
      <c r="C19" s="1"/>
      <c r="D19" s="74"/>
    </row>
    <row r="20" spans="2:12" x14ac:dyDescent="0.25">
      <c r="B20" s="165" t="s">
        <v>246</v>
      </c>
      <c r="C20" s="1"/>
      <c r="D20" s="74"/>
    </row>
    <row r="21" spans="2:12" x14ac:dyDescent="0.25">
      <c r="B21" t="s">
        <v>130</v>
      </c>
      <c r="C21" t="s">
        <v>139</v>
      </c>
      <c r="D21" t="s">
        <v>138</v>
      </c>
      <c r="E21" t="s">
        <v>241</v>
      </c>
    </row>
    <row r="22" spans="2:12" x14ac:dyDescent="0.25">
      <c r="B22">
        <v>0.5</v>
      </c>
      <c r="C22">
        <f>1/(B22*60)</f>
        <v>3.3333333333333333E-2</v>
      </c>
      <c r="D22" s="1">
        <f t="shared" ref="D22:D53" ca="1" si="1">($B$19*1000)*C22+$C$5</f>
        <v>0</v>
      </c>
      <c r="E22" s="74" t="e">
        <f ca="1">Table20[[#This Row],[Maksimikeskiteho]]/$C$5</f>
        <v>#DIV/0!</v>
      </c>
    </row>
    <row r="23" spans="2:12" x14ac:dyDescent="0.25">
      <c r="B23">
        <v>1</v>
      </c>
      <c r="C23">
        <f t="shared" ref="C23:C52" si="2">1/(B23*60)</f>
        <v>1.6666666666666666E-2</v>
      </c>
      <c r="D23" s="1">
        <f t="shared" ca="1" si="1"/>
        <v>0</v>
      </c>
      <c r="E23" s="74" t="e">
        <f ca="1">Table20[[#This Row],[Maksimikeskiteho]]/$C$5</f>
        <v>#DIV/0!</v>
      </c>
    </row>
    <row r="24" spans="2:12" x14ac:dyDescent="0.25">
      <c r="B24">
        <v>2</v>
      </c>
      <c r="C24">
        <f t="shared" si="2"/>
        <v>8.3333333333333332E-3</v>
      </c>
      <c r="D24" s="1">
        <f t="shared" ca="1" si="1"/>
        <v>0</v>
      </c>
      <c r="E24" s="74" t="e">
        <f ca="1">Table20[[#This Row],[Maksimikeskiteho]]/$C$5</f>
        <v>#DIV/0!</v>
      </c>
    </row>
    <row r="25" spans="2:12" x14ac:dyDescent="0.25">
      <c r="B25">
        <v>3</v>
      </c>
      <c r="C25">
        <f t="shared" si="2"/>
        <v>5.5555555555555558E-3</v>
      </c>
      <c r="D25" s="1">
        <f t="shared" ca="1" si="1"/>
        <v>0</v>
      </c>
      <c r="E25" s="74" t="e">
        <f ca="1">Table20[[#This Row],[Maksimikeskiteho]]/$C$5</f>
        <v>#DIV/0!</v>
      </c>
    </row>
    <row r="26" spans="2:12" x14ac:dyDescent="0.25">
      <c r="B26">
        <v>4</v>
      </c>
      <c r="C26">
        <f t="shared" si="2"/>
        <v>4.1666666666666666E-3</v>
      </c>
      <c r="D26" s="1">
        <f t="shared" ca="1" si="1"/>
        <v>0</v>
      </c>
      <c r="E26" s="74" t="e">
        <f ca="1">Table20[[#This Row],[Maksimikeskiteho]]/$C$5</f>
        <v>#DIV/0!</v>
      </c>
    </row>
    <row r="27" spans="2:12" x14ac:dyDescent="0.25">
      <c r="B27">
        <v>5</v>
      </c>
      <c r="C27">
        <f t="shared" si="2"/>
        <v>3.3333333333333335E-3</v>
      </c>
      <c r="D27" s="1">
        <f t="shared" ca="1" si="1"/>
        <v>0</v>
      </c>
      <c r="E27" s="74" t="e">
        <f ca="1">Table20[[#This Row],[Maksimikeskiteho]]/$C$5</f>
        <v>#DIV/0!</v>
      </c>
    </row>
    <row r="28" spans="2:12" x14ac:dyDescent="0.25">
      <c r="B28">
        <v>6</v>
      </c>
      <c r="C28">
        <f t="shared" si="2"/>
        <v>2.7777777777777779E-3</v>
      </c>
      <c r="D28" s="1">
        <f t="shared" ca="1" si="1"/>
        <v>0</v>
      </c>
      <c r="E28" s="74" t="e">
        <f ca="1">Table20[[#This Row],[Maksimikeskiteho]]/$C$5</f>
        <v>#DIV/0!</v>
      </c>
    </row>
    <row r="29" spans="2:12" x14ac:dyDescent="0.25">
      <c r="B29">
        <v>7</v>
      </c>
      <c r="C29">
        <f t="shared" si="2"/>
        <v>2.3809523809523812E-3</v>
      </c>
      <c r="D29" s="1">
        <f t="shared" ca="1" si="1"/>
        <v>0</v>
      </c>
      <c r="E29" s="74" t="e">
        <f ca="1">Table20[[#This Row],[Maksimikeskiteho]]/$C$5</f>
        <v>#DIV/0!</v>
      </c>
    </row>
    <row r="30" spans="2:12" x14ac:dyDescent="0.25">
      <c r="B30">
        <v>8</v>
      </c>
      <c r="C30">
        <f t="shared" si="2"/>
        <v>2.0833333333333333E-3</v>
      </c>
      <c r="D30" s="1">
        <f t="shared" ca="1" si="1"/>
        <v>0</v>
      </c>
      <c r="E30" s="74" t="e">
        <f ca="1">Table20[[#This Row],[Maksimikeskiteho]]/$C$5</f>
        <v>#DIV/0!</v>
      </c>
    </row>
    <row r="31" spans="2:12" x14ac:dyDescent="0.25">
      <c r="B31">
        <v>9</v>
      </c>
      <c r="C31">
        <f t="shared" si="2"/>
        <v>1.8518518518518519E-3</v>
      </c>
      <c r="D31" s="1">
        <f t="shared" ca="1" si="1"/>
        <v>0</v>
      </c>
      <c r="E31" s="74" t="e">
        <f ca="1">Table20[[#This Row],[Maksimikeskiteho]]/$C$5</f>
        <v>#DIV/0!</v>
      </c>
    </row>
    <row r="32" spans="2:12" x14ac:dyDescent="0.25">
      <c r="B32">
        <v>10</v>
      </c>
      <c r="C32">
        <f t="shared" si="2"/>
        <v>1.6666666666666668E-3</v>
      </c>
      <c r="D32" s="1">
        <f t="shared" ca="1" si="1"/>
        <v>0</v>
      </c>
      <c r="E32" s="74" t="e">
        <f ca="1">Table20[[#This Row],[Maksimikeskiteho]]/$C$5</f>
        <v>#DIV/0!</v>
      </c>
    </row>
    <row r="33" spans="2:5" x14ac:dyDescent="0.25">
      <c r="B33">
        <v>11</v>
      </c>
      <c r="C33">
        <f t="shared" si="2"/>
        <v>1.5151515151515152E-3</v>
      </c>
      <c r="D33" s="1">
        <f t="shared" ca="1" si="1"/>
        <v>0</v>
      </c>
      <c r="E33" s="74" t="e">
        <f ca="1">Table20[[#This Row],[Maksimikeskiteho]]/$C$5</f>
        <v>#DIV/0!</v>
      </c>
    </row>
    <row r="34" spans="2:5" x14ac:dyDescent="0.25">
      <c r="B34">
        <v>12</v>
      </c>
      <c r="C34">
        <f t="shared" si="2"/>
        <v>1.3888888888888889E-3</v>
      </c>
      <c r="D34" s="1">
        <f t="shared" ca="1" si="1"/>
        <v>0</v>
      </c>
      <c r="E34" s="74" t="e">
        <f ca="1">Table20[[#This Row],[Maksimikeskiteho]]/$C$5</f>
        <v>#DIV/0!</v>
      </c>
    </row>
    <row r="35" spans="2:5" x14ac:dyDescent="0.25">
      <c r="B35">
        <v>13</v>
      </c>
      <c r="C35">
        <f t="shared" si="2"/>
        <v>1.2820512820512821E-3</v>
      </c>
      <c r="D35" s="1">
        <f t="shared" ca="1" si="1"/>
        <v>0</v>
      </c>
      <c r="E35" s="74" t="e">
        <f ca="1">Table20[[#This Row],[Maksimikeskiteho]]/$C$5</f>
        <v>#DIV/0!</v>
      </c>
    </row>
    <row r="36" spans="2:5" x14ac:dyDescent="0.25">
      <c r="B36">
        <v>14</v>
      </c>
      <c r="C36">
        <f t="shared" si="2"/>
        <v>1.1904761904761906E-3</v>
      </c>
      <c r="D36" s="1">
        <f t="shared" ca="1" si="1"/>
        <v>0</v>
      </c>
      <c r="E36" s="74" t="e">
        <f ca="1">Table20[[#This Row],[Maksimikeskiteho]]/$C$5</f>
        <v>#DIV/0!</v>
      </c>
    </row>
    <row r="37" spans="2:5" x14ac:dyDescent="0.25">
      <c r="B37">
        <v>15</v>
      </c>
      <c r="C37">
        <f t="shared" si="2"/>
        <v>1.1111111111111111E-3</v>
      </c>
      <c r="D37" s="1">
        <f t="shared" ca="1" si="1"/>
        <v>0</v>
      </c>
      <c r="E37" s="74" t="e">
        <f ca="1">Table20[[#This Row],[Maksimikeskiteho]]/$C$5</f>
        <v>#DIV/0!</v>
      </c>
    </row>
    <row r="38" spans="2:5" x14ac:dyDescent="0.25">
      <c r="B38">
        <v>16</v>
      </c>
      <c r="C38">
        <f t="shared" si="2"/>
        <v>1.0416666666666667E-3</v>
      </c>
      <c r="D38" s="1">
        <f t="shared" ca="1" si="1"/>
        <v>0</v>
      </c>
      <c r="E38" s="74" t="e">
        <f ca="1">Table20[[#This Row],[Maksimikeskiteho]]/$C$5</f>
        <v>#DIV/0!</v>
      </c>
    </row>
    <row r="39" spans="2:5" x14ac:dyDescent="0.25">
      <c r="B39">
        <v>17</v>
      </c>
      <c r="C39">
        <f t="shared" si="2"/>
        <v>9.8039215686274508E-4</v>
      </c>
      <c r="D39" s="1">
        <f t="shared" ca="1" si="1"/>
        <v>0</v>
      </c>
      <c r="E39" s="74" t="e">
        <f ca="1">Table20[[#This Row],[Maksimikeskiteho]]/$C$5</f>
        <v>#DIV/0!</v>
      </c>
    </row>
    <row r="40" spans="2:5" x14ac:dyDescent="0.25">
      <c r="B40">
        <v>18</v>
      </c>
      <c r="C40">
        <f t="shared" si="2"/>
        <v>9.2592592592592596E-4</v>
      </c>
      <c r="D40" s="1">
        <f t="shared" ca="1" si="1"/>
        <v>0</v>
      </c>
      <c r="E40" s="74" t="e">
        <f ca="1">Table20[[#This Row],[Maksimikeskiteho]]/$C$5</f>
        <v>#DIV/0!</v>
      </c>
    </row>
    <row r="41" spans="2:5" x14ac:dyDescent="0.25">
      <c r="B41">
        <v>19</v>
      </c>
      <c r="C41">
        <f t="shared" si="2"/>
        <v>8.7719298245614037E-4</v>
      </c>
      <c r="D41" s="1">
        <f t="shared" ca="1" si="1"/>
        <v>0</v>
      </c>
      <c r="E41" s="74" t="e">
        <f ca="1">Table20[[#This Row],[Maksimikeskiteho]]/$C$5</f>
        <v>#DIV/0!</v>
      </c>
    </row>
    <row r="42" spans="2:5" x14ac:dyDescent="0.25">
      <c r="B42">
        <v>20</v>
      </c>
      <c r="C42">
        <f t="shared" si="2"/>
        <v>8.3333333333333339E-4</v>
      </c>
      <c r="D42" s="1">
        <f t="shared" ca="1" si="1"/>
        <v>0</v>
      </c>
      <c r="E42" s="74" t="e">
        <f ca="1">Table20[[#This Row],[Maksimikeskiteho]]/$C$5</f>
        <v>#DIV/0!</v>
      </c>
    </row>
    <row r="43" spans="2:5" x14ac:dyDescent="0.25">
      <c r="B43">
        <v>21</v>
      </c>
      <c r="C43">
        <f t="shared" si="2"/>
        <v>7.9365079365079365E-4</v>
      </c>
      <c r="D43" s="1">
        <f t="shared" ca="1" si="1"/>
        <v>0</v>
      </c>
      <c r="E43" s="74" t="e">
        <f ca="1">Table20[[#This Row],[Maksimikeskiteho]]/$C$5</f>
        <v>#DIV/0!</v>
      </c>
    </row>
    <row r="44" spans="2:5" x14ac:dyDescent="0.25">
      <c r="B44">
        <v>22</v>
      </c>
      <c r="C44">
        <f t="shared" si="2"/>
        <v>7.5757575757575758E-4</v>
      </c>
      <c r="D44" s="1">
        <f t="shared" ca="1" si="1"/>
        <v>0</v>
      </c>
      <c r="E44" s="74" t="e">
        <f ca="1">Table20[[#This Row],[Maksimikeskiteho]]/$C$5</f>
        <v>#DIV/0!</v>
      </c>
    </row>
    <row r="45" spans="2:5" x14ac:dyDescent="0.25">
      <c r="B45">
        <v>23</v>
      </c>
      <c r="C45">
        <f t="shared" si="2"/>
        <v>7.246376811594203E-4</v>
      </c>
      <c r="D45" s="1">
        <f t="shared" ca="1" si="1"/>
        <v>0</v>
      </c>
      <c r="E45" s="74" t="e">
        <f ca="1">Table20[[#This Row],[Maksimikeskiteho]]/$C$5</f>
        <v>#DIV/0!</v>
      </c>
    </row>
    <row r="46" spans="2:5" x14ac:dyDescent="0.25">
      <c r="B46">
        <v>24</v>
      </c>
      <c r="C46">
        <f t="shared" si="2"/>
        <v>6.9444444444444447E-4</v>
      </c>
      <c r="D46" s="1">
        <f t="shared" ca="1" si="1"/>
        <v>0</v>
      </c>
      <c r="E46" s="74" t="e">
        <f ca="1">Table20[[#This Row],[Maksimikeskiteho]]/$C$5</f>
        <v>#DIV/0!</v>
      </c>
    </row>
    <row r="47" spans="2:5" x14ac:dyDescent="0.25">
      <c r="B47">
        <v>25</v>
      </c>
      <c r="C47">
        <f t="shared" si="2"/>
        <v>6.6666666666666664E-4</v>
      </c>
      <c r="D47" s="1">
        <f t="shared" ca="1" si="1"/>
        <v>0</v>
      </c>
      <c r="E47" s="74" t="e">
        <f ca="1">Table20[[#This Row],[Maksimikeskiteho]]/$C$5</f>
        <v>#DIV/0!</v>
      </c>
    </row>
    <row r="48" spans="2:5" x14ac:dyDescent="0.25">
      <c r="B48">
        <v>26</v>
      </c>
      <c r="C48">
        <f t="shared" si="2"/>
        <v>6.4102564102564103E-4</v>
      </c>
      <c r="D48" s="1">
        <f t="shared" ca="1" si="1"/>
        <v>0</v>
      </c>
      <c r="E48" s="74" t="e">
        <f ca="1">Table20[[#This Row],[Maksimikeskiteho]]/$C$5</f>
        <v>#DIV/0!</v>
      </c>
    </row>
    <row r="49" spans="2:5" x14ac:dyDescent="0.25">
      <c r="B49">
        <v>27</v>
      </c>
      <c r="C49">
        <f t="shared" si="2"/>
        <v>6.1728395061728394E-4</v>
      </c>
      <c r="D49" s="1">
        <f t="shared" ca="1" si="1"/>
        <v>0</v>
      </c>
      <c r="E49" s="74" t="e">
        <f ca="1">Table20[[#This Row],[Maksimikeskiteho]]/$C$5</f>
        <v>#DIV/0!</v>
      </c>
    </row>
    <row r="50" spans="2:5" x14ac:dyDescent="0.25">
      <c r="B50">
        <v>28</v>
      </c>
      <c r="C50">
        <f t="shared" si="2"/>
        <v>5.9523809523809529E-4</v>
      </c>
      <c r="D50" s="1">
        <f t="shared" ca="1" si="1"/>
        <v>0</v>
      </c>
      <c r="E50" s="74" t="e">
        <f ca="1">Table20[[#This Row],[Maksimikeskiteho]]/$C$5</f>
        <v>#DIV/0!</v>
      </c>
    </row>
    <row r="51" spans="2:5" x14ac:dyDescent="0.25">
      <c r="B51">
        <v>29</v>
      </c>
      <c r="C51">
        <f t="shared" si="2"/>
        <v>5.7471264367816091E-4</v>
      </c>
      <c r="D51" s="1">
        <f t="shared" ca="1" si="1"/>
        <v>0</v>
      </c>
      <c r="E51" s="74" t="e">
        <f ca="1">Table20[[#This Row],[Maksimikeskiteho]]/$C$5</f>
        <v>#DIV/0!</v>
      </c>
    </row>
    <row r="52" spans="2:5" x14ac:dyDescent="0.25">
      <c r="B52">
        <v>30</v>
      </c>
      <c r="C52">
        <f t="shared" si="2"/>
        <v>5.5555555555555556E-4</v>
      </c>
      <c r="D52" s="1">
        <f t="shared" ca="1" si="1"/>
        <v>0</v>
      </c>
      <c r="E52" s="74" t="e">
        <f ca="1">Table20[[#This Row],[Maksimikeskiteho]]/$C$5</f>
        <v>#DIV/0!</v>
      </c>
    </row>
    <row r="53" spans="2:5" x14ac:dyDescent="0.25">
      <c r="B53">
        <v>31</v>
      </c>
      <c r="C53">
        <f t="shared" ref="C53:C58" si="3">1/(B53*60)</f>
        <v>5.3763440860215054E-4</v>
      </c>
      <c r="D53" s="1">
        <f t="shared" ca="1" si="1"/>
        <v>0</v>
      </c>
      <c r="E53" s="74" t="e">
        <f ca="1">Table20[[#This Row],[Maksimikeskiteho]]/$C$5</f>
        <v>#DIV/0!</v>
      </c>
    </row>
    <row r="54" spans="2:5" x14ac:dyDescent="0.25">
      <c r="B54">
        <v>32</v>
      </c>
      <c r="C54">
        <f t="shared" si="3"/>
        <v>5.2083333333333333E-4</v>
      </c>
      <c r="D54" s="1">
        <f t="shared" ref="D54:D82" ca="1" si="4">($B$19*1000)*C54+$C$5</f>
        <v>0</v>
      </c>
      <c r="E54" s="74" t="e">
        <f ca="1">Table20[[#This Row],[Maksimikeskiteho]]/$C$5</f>
        <v>#DIV/0!</v>
      </c>
    </row>
    <row r="55" spans="2:5" x14ac:dyDescent="0.25">
      <c r="B55">
        <v>33</v>
      </c>
      <c r="C55">
        <f t="shared" si="3"/>
        <v>5.0505050505050505E-4</v>
      </c>
      <c r="D55" s="1">
        <f t="shared" ca="1" si="4"/>
        <v>0</v>
      </c>
      <c r="E55" s="74" t="e">
        <f ca="1">Table20[[#This Row],[Maksimikeskiteho]]/$C$5</f>
        <v>#DIV/0!</v>
      </c>
    </row>
    <row r="56" spans="2:5" x14ac:dyDescent="0.25">
      <c r="B56">
        <v>34</v>
      </c>
      <c r="C56">
        <f t="shared" si="3"/>
        <v>4.9019607843137254E-4</v>
      </c>
      <c r="D56" s="1">
        <f t="shared" ca="1" si="4"/>
        <v>0</v>
      </c>
      <c r="E56" s="74" t="e">
        <f ca="1">Table20[[#This Row],[Maksimikeskiteho]]/$C$5</f>
        <v>#DIV/0!</v>
      </c>
    </row>
    <row r="57" spans="2:5" x14ac:dyDescent="0.25">
      <c r="B57">
        <v>35</v>
      </c>
      <c r="C57">
        <f t="shared" si="3"/>
        <v>4.7619047619047619E-4</v>
      </c>
      <c r="D57" s="1">
        <f t="shared" ca="1" si="4"/>
        <v>0</v>
      </c>
      <c r="E57" s="74" t="e">
        <f ca="1">Table20[[#This Row],[Maksimikeskiteho]]/$C$5</f>
        <v>#DIV/0!</v>
      </c>
    </row>
    <row r="58" spans="2:5" x14ac:dyDescent="0.25">
      <c r="B58">
        <v>36</v>
      </c>
      <c r="C58">
        <f t="shared" si="3"/>
        <v>4.6296296296296298E-4</v>
      </c>
      <c r="D58" s="1">
        <f t="shared" ca="1" si="4"/>
        <v>0</v>
      </c>
      <c r="E58" s="74" t="e">
        <f ca="1">Table20[[#This Row],[Maksimikeskiteho]]/$C$5</f>
        <v>#DIV/0!</v>
      </c>
    </row>
    <row r="59" spans="2:5" x14ac:dyDescent="0.25">
      <c r="B59">
        <v>37</v>
      </c>
      <c r="C59">
        <f>1/(B59*60)</f>
        <v>4.5045045045045046E-4</v>
      </c>
      <c r="D59" s="1">
        <f t="shared" ca="1" si="4"/>
        <v>0</v>
      </c>
      <c r="E59" s="74" t="e">
        <f ca="1">Table20[[#This Row],[Maksimikeskiteho]]/$C$5</f>
        <v>#DIV/0!</v>
      </c>
    </row>
    <row r="60" spans="2:5" x14ac:dyDescent="0.25">
      <c r="B60">
        <v>38</v>
      </c>
      <c r="C60">
        <f>1/(B60*60)</f>
        <v>4.3859649122807018E-4</v>
      </c>
      <c r="D60" s="1">
        <f t="shared" ca="1" si="4"/>
        <v>0</v>
      </c>
      <c r="E60" s="74" t="e">
        <f ca="1">Table20[[#This Row],[Maksimikeskiteho]]/$C$5</f>
        <v>#DIV/0!</v>
      </c>
    </row>
    <row r="61" spans="2:5" x14ac:dyDescent="0.25">
      <c r="B61">
        <v>39</v>
      </c>
      <c r="C61">
        <f>1/(B61*60)</f>
        <v>4.2735042735042735E-4</v>
      </c>
      <c r="D61" s="1">
        <f t="shared" ca="1" si="4"/>
        <v>0</v>
      </c>
      <c r="E61" s="74" t="e">
        <f ca="1">Table20[[#This Row],[Maksimikeskiteho]]/$C$5</f>
        <v>#DIV/0!</v>
      </c>
    </row>
    <row r="62" spans="2:5" x14ac:dyDescent="0.25">
      <c r="B62">
        <v>40</v>
      </c>
      <c r="C62">
        <f>1/(B62*60)</f>
        <v>4.1666666666666669E-4</v>
      </c>
      <c r="D62" s="1">
        <f t="shared" ca="1" si="4"/>
        <v>0</v>
      </c>
      <c r="E62" s="74" t="e">
        <f ca="1">Table20[[#This Row],[Maksimikeskiteho]]/$C$5</f>
        <v>#DIV/0!</v>
      </c>
    </row>
    <row r="63" spans="2:5" x14ac:dyDescent="0.25">
      <c r="B63">
        <v>41</v>
      </c>
      <c r="C63">
        <f t="shared" ref="C63:C73" si="5">1/(B63*60)</f>
        <v>4.0650406504065041E-4</v>
      </c>
      <c r="D63" s="1">
        <f t="shared" ca="1" si="4"/>
        <v>0</v>
      </c>
      <c r="E63" s="74" t="e">
        <f ca="1">Table20[[#This Row],[Maksimikeskiteho]]/$C$5</f>
        <v>#DIV/0!</v>
      </c>
    </row>
    <row r="64" spans="2:5" x14ac:dyDescent="0.25">
      <c r="B64">
        <v>42</v>
      </c>
      <c r="C64">
        <f t="shared" si="5"/>
        <v>3.9682539682539683E-4</v>
      </c>
      <c r="D64" s="1">
        <f t="shared" ca="1" si="4"/>
        <v>0</v>
      </c>
      <c r="E64" s="74" t="e">
        <f ca="1">Table20[[#This Row],[Maksimikeskiteho]]/$C$5</f>
        <v>#DIV/0!</v>
      </c>
    </row>
    <row r="65" spans="2:5" ht="17.100000000000001" customHeight="1" x14ac:dyDescent="0.25">
      <c r="B65">
        <v>43</v>
      </c>
      <c r="C65">
        <f t="shared" si="5"/>
        <v>3.875968992248062E-4</v>
      </c>
      <c r="D65" s="1">
        <f t="shared" ca="1" si="4"/>
        <v>0</v>
      </c>
      <c r="E65" s="74" t="e">
        <f ca="1">Table20[[#This Row],[Maksimikeskiteho]]/$C$5</f>
        <v>#DIV/0!</v>
      </c>
    </row>
    <row r="66" spans="2:5" x14ac:dyDescent="0.25">
      <c r="B66">
        <v>44</v>
      </c>
      <c r="C66">
        <f t="shared" si="5"/>
        <v>3.7878787878787879E-4</v>
      </c>
      <c r="D66" s="1">
        <f t="shared" ca="1" si="4"/>
        <v>0</v>
      </c>
      <c r="E66" s="74" t="e">
        <f ca="1">Table20[[#This Row],[Maksimikeskiteho]]/$C$5</f>
        <v>#DIV/0!</v>
      </c>
    </row>
    <row r="67" spans="2:5" x14ac:dyDescent="0.25">
      <c r="B67">
        <v>45</v>
      </c>
      <c r="C67">
        <f t="shared" si="5"/>
        <v>3.7037037037037035E-4</v>
      </c>
      <c r="D67" s="1">
        <f t="shared" ca="1" si="4"/>
        <v>0</v>
      </c>
      <c r="E67" s="74" t="e">
        <f ca="1">Table20[[#This Row],[Maksimikeskiteho]]/$C$5</f>
        <v>#DIV/0!</v>
      </c>
    </row>
    <row r="68" spans="2:5" x14ac:dyDescent="0.25">
      <c r="B68">
        <v>46</v>
      </c>
      <c r="C68">
        <f t="shared" si="5"/>
        <v>3.6231884057971015E-4</v>
      </c>
      <c r="D68" s="1">
        <f t="shared" ca="1" si="4"/>
        <v>0</v>
      </c>
      <c r="E68" s="74" t="e">
        <f ca="1">Table20[[#This Row],[Maksimikeskiteho]]/$C$5</f>
        <v>#DIV/0!</v>
      </c>
    </row>
    <row r="69" spans="2:5" x14ac:dyDescent="0.25">
      <c r="B69">
        <v>47</v>
      </c>
      <c r="C69">
        <f t="shared" si="5"/>
        <v>3.5460992907801421E-4</v>
      </c>
      <c r="D69" s="1">
        <f t="shared" ca="1" si="4"/>
        <v>0</v>
      </c>
      <c r="E69" s="74" t="e">
        <f ca="1">Table20[[#This Row],[Maksimikeskiteho]]/$C$5</f>
        <v>#DIV/0!</v>
      </c>
    </row>
    <row r="70" spans="2:5" x14ac:dyDescent="0.25">
      <c r="B70">
        <v>48</v>
      </c>
      <c r="C70">
        <f t="shared" si="5"/>
        <v>3.4722222222222224E-4</v>
      </c>
      <c r="D70" s="1">
        <f t="shared" ca="1" si="4"/>
        <v>0</v>
      </c>
      <c r="E70" s="74" t="e">
        <f ca="1">Table20[[#This Row],[Maksimikeskiteho]]/$C$5</f>
        <v>#DIV/0!</v>
      </c>
    </row>
    <row r="71" spans="2:5" x14ac:dyDescent="0.25">
      <c r="B71">
        <v>49</v>
      </c>
      <c r="C71">
        <f t="shared" si="5"/>
        <v>3.4013605442176868E-4</v>
      </c>
      <c r="D71" s="1">
        <f t="shared" ca="1" si="4"/>
        <v>0</v>
      </c>
      <c r="E71" s="74" t="e">
        <f ca="1">Table20[[#This Row],[Maksimikeskiteho]]/$C$5</f>
        <v>#DIV/0!</v>
      </c>
    </row>
    <row r="72" spans="2:5" x14ac:dyDescent="0.25">
      <c r="B72">
        <v>50</v>
      </c>
      <c r="C72">
        <f t="shared" si="5"/>
        <v>3.3333333333333332E-4</v>
      </c>
      <c r="D72" s="1">
        <f t="shared" ca="1" si="4"/>
        <v>0</v>
      </c>
      <c r="E72" s="74" t="e">
        <f ca="1">Table20[[#This Row],[Maksimikeskiteho]]/$C$5</f>
        <v>#DIV/0!</v>
      </c>
    </row>
    <row r="73" spans="2:5" x14ac:dyDescent="0.25">
      <c r="B73">
        <v>51</v>
      </c>
      <c r="C73">
        <f t="shared" si="5"/>
        <v>3.2679738562091501E-4</v>
      </c>
      <c r="D73" s="1">
        <f t="shared" ca="1" si="4"/>
        <v>0</v>
      </c>
      <c r="E73" s="74" t="e">
        <f ca="1">Table20[[#This Row],[Maksimikeskiteho]]/$C$5</f>
        <v>#DIV/0!</v>
      </c>
    </row>
    <row r="74" spans="2:5" x14ac:dyDescent="0.25">
      <c r="B74">
        <v>52</v>
      </c>
      <c r="C74">
        <f t="shared" ref="C74:C82" si="6">1/(B74*60)</f>
        <v>3.2051282051282051E-4</v>
      </c>
      <c r="D74" s="1">
        <f t="shared" ca="1" si="4"/>
        <v>0</v>
      </c>
      <c r="E74" s="74" t="e">
        <f ca="1">Table20[[#This Row],[Maksimikeskiteho]]/$C$5</f>
        <v>#DIV/0!</v>
      </c>
    </row>
    <row r="75" spans="2:5" x14ac:dyDescent="0.25">
      <c r="B75">
        <v>53</v>
      </c>
      <c r="C75">
        <f t="shared" si="6"/>
        <v>3.1446540880503143E-4</v>
      </c>
      <c r="D75" s="1">
        <f t="shared" ca="1" si="4"/>
        <v>0</v>
      </c>
      <c r="E75" s="74" t="e">
        <f ca="1">Table20[[#This Row],[Maksimikeskiteho]]/$C$5</f>
        <v>#DIV/0!</v>
      </c>
    </row>
    <row r="76" spans="2:5" x14ac:dyDescent="0.25">
      <c r="B76">
        <v>54</v>
      </c>
      <c r="C76">
        <f t="shared" si="6"/>
        <v>3.0864197530864197E-4</v>
      </c>
      <c r="D76" s="1">
        <f t="shared" ca="1" si="4"/>
        <v>0</v>
      </c>
      <c r="E76" s="74" t="e">
        <f ca="1">Table20[[#This Row],[Maksimikeskiteho]]/$C$5</f>
        <v>#DIV/0!</v>
      </c>
    </row>
    <row r="77" spans="2:5" x14ac:dyDescent="0.25">
      <c r="B77">
        <v>55</v>
      </c>
      <c r="C77">
        <f t="shared" si="6"/>
        <v>3.0303030303030303E-4</v>
      </c>
      <c r="D77" s="1">
        <f t="shared" ca="1" si="4"/>
        <v>0</v>
      </c>
      <c r="E77" s="74" t="e">
        <f ca="1">Table20[[#This Row],[Maksimikeskiteho]]/$C$5</f>
        <v>#DIV/0!</v>
      </c>
    </row>
    <row r="78" spans="2:5" x14ac:dyDescent="0.25">
      <c r="B78">
        <v>56</v>
      </c>
      <c r="C78">
        <f t="shared" si="6"/>
        <v>2.9761904761904765E-4</v>
      </c>
      <c r="D78" s="1">
        <f t="shared" ca="1" si="4"/>
        <v>0</v>
      </c>
      <c r="E78" s="74" t="e">
        <f ca="1">Table20[[#This Row],[Maksimikeskiteho]]/$C$5</f>
        <v>#DIV/0!</v>
      </c>
    </row>
    <row r="79" spans="2:5" x14ac:dyDescent="0.25">
      <c r="B79">
        <v>57</v>
      </c>
      <c r="C79">
        <f t="shared" si="6"/>
        <v>2.9239766081871346E-4</v>
      </c>
      <c r="D79" s="1">
        <f t="shared" ca="1" si="4"/>
        <v>0</v>
      </c>
      <c r="E79" s="74" t="e">
        <f ca="1">Table20[[#This Row],[Maksimikeskiteho]]/$C$5</f>
        <v>#DIV/0!</v>
      </c>
    </row>
    <row r="80" spans="2:5" x14ac:dyDescent="0.25">
      <c r="B80">
        <v>58</v>
      </c>
      <c r="C80">
        <f t="shared" si="6"/>
        <v>2.8735632183908046E-4</v>
      </c>
      <c r="D80" s="1">
        <f t="shared" ca="1" si="4"/>
        <v>0</v>
      </c>
      <c r="E80" s="74" t="e">
        <f ca="1">Table20[[#This Row],[Maksimikeskiteho]]/$C$5</f>
        <v>#DIV/0!</v>
      </c>
    </row>
    <row r="81" spans="2:5" x14ac:dyDescent="0.25">
      <c r="B81">
        <v>59</v>
      </c>
      <c r="C81">
        <f t="shared" si="6"/>
        <v>2.824858757062147E-4</v>
      </c>
      <c r="D81" s="1">
        <f t="shared" ca="1" si="4"/>
        <v>0</v>
      </c>
      <c r="E81" s="74" t="e">
        <f ca="1">Table20[[#This Row],[Maksimikeskiteho]]/$C$5</f>
        <v>#DIV/0!</v>
      </c>
    </row>
    <row r="82" spans="2:5" x14ac:dyDescent="0.25">
      <c r="B82">
        <v>60</v>
      </c>
      <c r="C82">
        <f t="shared" si="6"/>
        <v>2.7777777777777778E-4</v>
      </c>
      <c r="D82" s="1">
        <f t="shared" ca="1" si="4"/>
        <v>0</v>
      </c>
      <c r="E82" s="74" t="e">
        <f ca="1">Table20[[#This Row],[Maksimikeskiteho]]/$C$5</f>
        <v>#DIV/0!</v>
      </c>
    </row>
  </sheetData>
  <mergeCells count="2">
    <mergeCell ref="D1:F3"/>
    <mergeCell ref="I15:L17"/>
  </mergeCells>
  <pageMargins left="0.75" right="0.75" top="1" bottom="1" header="0.5" footer="0.5"/>
  <pageSetup paperSize="9" orientation="portrait" horizontalDpi="4294967292" verticalDpi="4294967292"/>
  <tableParts count="2">
    <tablePart r:id="rId1"/>
    <tablePart r:id="rId2"/>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7"/>
  <sheetViews>
    <sheetView workbookViewId="0">
      <selection activeCell="J22" sqref="J22"/>
    </sheetView>
  </sheetViews>
  <sheetFormatPr defaultColWidth="8.875" defaultRowHeight="15.75" x14ac:dyDescent="0.25"/>
  <cols>
    <col min="1" max="1" width="12.875" customWidth="1"/>
    <col min="2" max="2" width="9.625" customWidth="1"/>
    <col min="3" max="3" width="20.125" customWidth="1"/>
    <col min="4" max="4" width="8.375" customWidth="1"/>
    <col min="5" max="5" width="10.125" customWidth="1"/>
    <col min="6" max="6" width="7.625" customWidth="1"/>
    <col min="7" max="8" width="14.875" customWidth="1"/>
    <col min="9" max="9" width="12.625" customWidth="1"/>
    <col min="10" max="10" width="17" customWidth="1"/>
    <col min="11" max="11" width="12.875" customWidth="1"/>
    <col min="12" max="12" width="13.625" customWidth="1"/>
    <col min="15" max="15" width="9.625" customWidth="1"/>
  </cols>
  <sheetData>
    <row r="1" spans="1:16" ht="33" customHeight="1" x14ac:dyDescent="0.25">
      <c r="A1" s="50" t="s">
        <v>23</v>
      </c>
      <c r="B1" s="50" t="s">
        <v>102</v>
      </c>
      <c r="C1" s="50" t="s">
        <v>14</v>
      </c>
      <c r="D1" s="50" t="s">
        <v>101</v>
      </c>
      <c r="E1" s="50" t="s">
        <v>17</v>
      </c>
      <c r="F1" s="50" t="s">
        <v>100</v>
      </c>
      <c r="G1" s="50" t="s">
        <v>103</v>
      </c>
      <c r="H1" s="50" t="s">
        <v>104</v>
      </c>
      <c r="I1" s="50" t="s">
        <v>105</v>
      </c>
      <c r="J1" s="50" t="s">
        <v>106</v>
      </c>
      <c r="K1" s="50" t="s">
        <v>169</v>
      </c>
    </row>
    <row r="2" spans="1:16" x14ac:dyDescent="0.25">
      <c r="A2" s="23">
        <v>44130</v>
      </c>
      <c r="B2">
        <f>WEEKNUM(A2,21)</f>
        <v>44</v>
      </c>
      <c r="C2" t="s">
        <v>24</v>
      </c>
      <c r="E2" t="str">
        <f>VLOOKUP(Table16[[#This Row],[Viikko-koodi]],Viikkokoodit,2,TRUE)</f>
        <v>Kova 1</v>
      </c>
      <c r="F2">
        <v>1</v>
      </c>
      <c r="G2" s="46">
        <f>Alkukysely!$D$18</f>
        <v>3</v>
      </c>
      <c r="H2" s="1">
        <f>IF(Table16[[#This Row],[Viikko-koodi]]&gt;0,Alkukysely!$E$17,Alkukysely!$E$18)</f>
        <v>0</v>
      </c>
      <c r="I2" s="46">
        <f>Table16[[#This Row],[Kestävyys-harjoittelu (h)]]+Table16[[#This Row],[Voima-harjoittelu (h)]]</f>
        <v>3</v>
      </c>
      <c r="J2" t="s">
        <v>94</v>
      </c>
      <c r="N2" t="s">
        <v>38</v>
      </c>
      <c r="O2">
        <v>8</v>
      </c>
    </row>
    <row r="3" spans="1:16" x14ac:dyDescent="0.25">
      <c r="A3" s="23">
        <f t="shared" ref="A3:A29" si="0">A2+7</f>
        <v>44137</v>
      </c>
      <c r="B3">
        <f t="shared" ref="B3:B29" si="1">WEEKNUM(A3,21)</f>
        <v>45</v>
      </c>
      <c r="C3" t="str">
        <f>VLOOKUP(Table16[[#This Row],[Jakso-koodi]],Jaksokoodit,2,FALSE)</f>
        <v>Peruskestävyys</v>
      </c>
      <c r="D3">
        <v>1</v>
      </c>
      <c r="E3" t="str">
        <f>VLOOKUP(Table16[[#This Row],[Viikko-koodi]],Viikkokoodit,2,TRUE)</f>
        <v>Kova 2</v>
      </c>
      <c r="F3">
        <v>2</v>
      </c>
      <c r="G3" s="46">
        <f>Alkukysely!$D$16</f>
        <v>4</v>
      </c>
      <c r="H3" s="1">
        <f>IF(Table16[[#This Row],[Viikko-koodi]]&gt;0,Alkukysely!$E$17,Alkukysely!$E$18)</f>
        <v>0</v>
      </c>
      <c r="I3" s="46">
        <f>Table16[[#This Row],[Kestävyys-harjoittelu (h)]]+Table16[[#This Row],[Voima-harjoittelu (h)]]</f>
        <v>4</v>
      </c>
      <c r="J3" t="s">
        <v>93</v>
      </c>
      <c r="N3" t="s">
        <v>39</v>
      </c>
    </row>
    <row r="4" spans="1:16" x14ac:dyDescent="0.25">
      <c r="A4" s="23">
        <f t="shared" si="0"/>
        <v>44144</v>
      </c>
      <c r="B4">
        <f t="shared" si="1"/>
        <v>46</v>
      </c>
      <c r="C4" t="str">
        <f>VLOOKUP(Table16[[#This Row],[Jakso-koodi]],Jaksokoodit,2,FALSE)</f>
        <v>Peruskestävyys</v>
      </c>
      <c r="D4">
        <v>1</v>
      </c>
      <c r="E4" t="str">
        <f>VLOOKUP(Table16[[#This Row],[Viikko-koodi]],Viikkokoodit,2,TRUE)</f>
        <v>Kova 3</v>
      </c>
      <c r="F4">
        <v>3</v>
      </c>
      <c r="G4" s="46">
        <f>G3+$K$33</f>
        <v>6</v>
      </c>
      <c r="H4" s="1">
        <f>IF(Table16[[#This Row],[Viikko-koodi]]&gt;0,Alkukysely!$E$17,Alkukysely!$E$18)</f>
        <v>0</v>
      </c>
      <c r="I4" s="46">
        <f>Table16[[#This Row],[Kestävyys-harjoittelu (h)]]+Table16[[#This Row],[Voima-harjoittelu (h)]]</f>
        <v>6</v>
      </c>
      <c r="J4" t="s">
        <v>274</v>
      </c>
    </row>
    <row r="5" spans="1:16" x14ac:dyDescent="0.25">
      <c r="A5" s="23">
        <f t="shared" si="0"/>
        <v>44151</v>
      </c>
      <c r="B5">
        <f t="shared" si="1"/>
        <v>47</v>
      </c>
      <c r="C5" t="str">
        <f>VLOOKUP(Table16[[#This Row],[Jakso-koodi]],Jaksokoodit,2,FALSE)</f>
        <v>Peruskestävyys</v>
      </c>
      <c r="D5">
        <v>1</v>
      </c>
      <c r="E5" t="str">
        <f>VLOOKUP(Table16[[#This Row],[Viikko-koodi]],Viikkokoodit,2,TRUE)</f>
        <v>Kevyt</v>
      </c>
      <c r="F5">
        <v>0</v>
      </c>
      <c r="G5" s="46">
        <f>Alkukysely!$D$18</f>
        <v>3</v>
      </c>
      <c r="H5" s="1">
        <f>IF(Table16[[#This Row],[Viikko-koodi]]&gt;0,Alkukysely!$E$17,Alkukysely!$E$18)</f>
        <v>0</v>
      </c>
      <c r="I5" s="46">
        <f>Table16[[#This Row],[Kestävyys-harjoittelu (h)]]+Table16[[#This Row],[Voima-harjoittelu (h)]]</f>
        <v>3</v>
      </c>
    </row>
    <row r="6" spans="1:16" x14ac:dyDescent="0.25">
      <c r="A6" s="23">
        <f t="shared" si="0"/>
        <v>44158</v>
      </c>
      <c r="B6">
        <f t="shared" si="1"/>
        <v>48</v>
      </c>
      <c r="C6" t="str">
        <f>VLOOKUP(Table16[[#This Row],[Jakso-koodi]],Jaksokoodit,2,FALSE)</f>
        <v>MK pitkä</v>
      </c>
      <c r="D6">
        <v>4</v>
      </c>
      <c r="E6" t="str">
        <f>VLOOKUP(Table16[[#This Row],[Viikko-koodi]],Viikkokoodit,2,TRUE)</f>
        <v>Kova 1</v>
      </c>
      <c r="F6">
        <v>1</v>
      </c>
      <c r="G6" s="46">
        <f>G3</f>
        <v>4</v>
      </c>
      <c r="H6" s="1">
        <f>IF(Table16[[#This Row],[Viikko-koodi]]&gt;0,Alkukysely!$E$17,Alkukysely!$E$18)</f>
        <v>0</v>
      </c>
      <c r="I6" s="46">
        <f>Table16[[#This Row],[Kestävyys-harjoittelu (h)]]+Table16[[#This Row],[Voima-harjoittelu (h)]]</f>
        <v>4</v>
      </c>
      <c r="N6" s="2" t="s">
        <v>22</v>
      </c>
      <c r="O6" s="2" t="s">
        <v>89</v>
      </c>
    </row>
    <row r="7" spans="1:16" x14ac:dyDescent="0.25">
      <c r="A7" s="23">
        <f t="shared" si="0"/>
        <v>44165</v>
      </c>
      <c r="B7">
        <f t="shared" si="1"/>
        <v>49</v>
      </c>
      <c r="C7" t="str">
        <f>VLOOKUP(Table16[[#This Row],[Jakso-koodi]],Jaksokoodit,2,FALSE)</f>
        <v>MK pitkä</v>
      </c>
      <c r="D7">
        <v>4</v>
      </c>
      <c r="E7" t="str">
        <f>VLOOKUP(Table16[[#This Row],[Viikko-koodi]],Viikkokoodit,2,TRUE)</f>
        <v>Kova 2</v>
      </c>
      <c r="F7">
        <v>2</v>
      </c>
      <c r="G7" s="46">
        <f>G6+$K$34</f>
        <v>4.4000000000000004</v>
      </c>
      <c r="H7" s="1">
        <f>IF(Table16[[#This Row],[Viikko-koodi]]&gt;0,Alkukysely!$E$17,Alkukysely!$E$18)</f>
        <v>0</v>
      </c>
      <c r="I7" s="46">
        <f>Table16[[#This Row],[Kestävyys-harjoittelu (h)]]+Table16[[#This Row],[Voima-harjoittelu (h)]]</f>
        <v>4.4000000000000004</v>
      </c>
      <c r="J7" t="s">
        <v>273</v>
      </c>
      <c r="N7">
        <v>0</v>
      </c>
      <c r="O7" t="s">
        <v>19</v>
      </c>
    </row>
    <row r="8" spans="1:16" x14ac:dyDescent="0.25">
      <c r="A8" s="23">
        <f t="shared" si="0"/>
        <v>44172</v>
      </c>
      <c r="B8">
        <f t="shared" si="1"/>
        <v>50</v>
      </c>
      <c r="C8" t="str">
        <f>VLOOKUP(Table16[[#This Row],[Jakso-koodi]],Jaksokoodit,2,FALSE)</f>
        <v>MK pitkä</v>
      </c>
      <c r="D8">
        <v>4</v>
      </c>
      <c r="E8" t="str">
        <f>VLOOKUP(Table16[[#This Row],[Viikko-koodi]],Viikkokoodit,2,TRUE)</f>
        <v>Kova 3</v>
      </c>
      <c r="F8">
        <v>3</v>
      </c>
      <c r="G8" s="46">
        <f>G7+$K$34</f>
        <v>4.8000000000000007</v>
      </c>
      <c r="H8" s="1">
        <f>IF(Table16[[#This Row],[Viikko-koodi]]&gt;0,Alkukysely!$E$17,Alkukysely!$E$18)</f>
        <v>0</v>
      </c>
      <c r="I8" s="46">
        <f>Table16[[#This Row],[Kestävyys-harjoittelu (h)]]+Table16[[#This Row],[Voima-harjoittelu (h)]]</f>
        <v>4.8000000000000007</v>
      </c>
      <c r="N8">
        <v>1</v>
      </c>
      <c r="O8" t="s">
        <v>18</v>
      </c>
    </row>
    <row r="9" spans="1:16" x14ac:dyDescent="0.25">
      <c r="A9" s="23">
        <f t="shared" si="0"/>
        <v>44179</v>
      </c>
      <c r="B9">
        <f t="shared" si="1"/>
        <v>51</v>
      </c>
      <c r="C9" t="str">
        <f>VLOOKUP(Table16[[#This Row],[Jakso-koodi]],Jaksokoodit,2,FALSE)</f>
        <v>MK pitkä</v>
      </c>
      <c r="D9">
        <v>4</v>
      </c>
      <c r="E9" t="str">
        <f>VLOOKUP(Table16[[#This Row],[Viikko-koodi]],Viikkokoodit,2,TRUE)</f>
        <v>Kevyt</v>
      </c>
      <c r="F9">
        <v>0</v>
      </c>
      <c r="G9" s="46">
        <f>Alkukysely!$D$18</f>
        <v>3</v>
      </c>
      <c r="H9" s="1">
        <f>IF(Table16[[#This Row],[Viikko-koodi]]&gt;0,Alkukysely!$E$17,Alkukysely!$E$18)</f>
        <v>0</v>
      </c>
      <c r="I9" s="46">
        <f>Table16[[#This Row],[Kestävyys-harjoittelu (h)]]+Table16[[#This Row],[Voima-harjoittelu (h)]]</f>
        <v>3</v>
      </c>
      <c r="N9">
        <v>2</v>
      </c>
      <c r="O9" t="s">
        <v>88</v>
      </c>
    </row>
    <row r="10" spans="1:16" x14ac:dyDescent="0.25">
      <c r="A10" s="23">
        <f t="shared" si="0"/>
        <v>44186</v>
      </c>
      <c r="B10">
        <f t="shared" si="1"/>
        <v>52</v>
      </c>
      <c r="C10" t="str">
        <f>VLOOKUP(Table16[[#This Row],[Jakso-koodi]],Jaksokoodit,2,FALSE)</f>
        <v>MK pitkä</v>
      </c>
      <c r="D10">
        <v>4</v>
      </c>
      <c r="E10" t="str">
        <f>VLOOKUP(Table16[[#This Row],[Viikko-koodi]],Viikkokoodit,2,TRUE)</f>
        <v>Kova 1</v>
      </c>
      <c r="F10">
        <v>1</v>
      </c>
      <c r="G10" s="46">
        <f>G7</f>
        <v>4.4000000000000004</v>
      </c>
      <c r="H10" s="1">
        <f>IF(Table16[[#This Row],[Viikko-koodi]]&gt;0,Alkukysely!$E$17,Alkukysely!$E$18)</f>
        <v>0</v>
      </c>
      <c r="I10" s="46">
        <f>Table16[[#This Row],[Kestävyys-harjoittelu (h)]]+Table16[[#This Row],[Voima-harjoittelu (h)]]</f>
        <v>4.4000000000000004</v>
      </c>
      <c r="J10" t="s">
        <v>93</v>
      </c>
      <c r="N10">
        <v>3</v>
      </c>
      <c r="O10" t="s">
        <v>25</v>
      </c>
    </row>
    <row r="11" spans="1:16" x14ac:dyDescent="0.25">
      <c r="A11" s="23">
        <f t="shared" si="0"/>
        <v>44193</v>
      </c>
      <c r="B11">
        <f t="shared" si="1"/>
        <v>53</v>
      </c>
      <c r="C11" t="str">
        <f>VLOOKUP(Table16[[#This Row],[Jakso-koodi]],Jaksokoodit,2,FALSE)</f>
        <v>MK pitkä</v>
      </c>
      <c r="D11">
        <v>4</v>
      </c>
      <c r="E11" t="str">
        <f>VLOOKUP(Table16[[#This Row],[Viikko-koodi]],Viikkokoodit,2,TRUE)</f>
        <v>Kova 2</v>
      </c>
      <c r="F11">
        <v>2</v>
      </c>
      <c r="G11" s="46">
        <f>G10+$K$34</f>
        <v>4.8000000000000007</v>
      </c>
      <c r="H11" s="1">
        <f>IF(Table16[[#This Row],[Viikko-koodi]]&gt;0,Alkukysely!$E$17,Alkukysely!$E$18)</f>
        <v>0</v>
      </c>
      <c r="I11" s="46">
        <f>Table16[[#This Row],[Kestävyys-harjoittelu (h)]]+Table16[[#This Row],[Voima-harjoittelu (h)]]</f>
        <v>4.8000000000000007</v>
      </c>
    </row>
    <row r="12" spans="1:16" x14ac:dyDescent="0.25">
      <c r="A12" s="23">
        <f t="shared" si="0"/>
        <v>44200</v>
      </c>
      <c r="B12">
        <f t="shared" si="1"/>
        <v>1</v>
      </c>
      <c r="C12" t="str">
        <f>VLOOKUP(Table16[[#This Row],[Jakso-koodi]],Jaksokoodit,2,FALSE)</f>
        <v>MK pitkä</v>
      </c>
      <c r="D12">
        <v>4</v>
      </c>
      <c r="E12" t="str">
        <f>VLOOKUP(Table16[[#This Row],[Viikko-koodi]],Viikkokoodit,2,TRUE)</f>
        <v>Kova 3</v>
      </c>
      <c r="F12">
        <v>3</v>
      </c>
      <c r="G12" s="46">
        <f>G11+$K$34</f>
        <v>5.2000000000000011</v>
      </c>
      <c r="H12" s="1">
        <f>IF(Table16[[#This Row],[Viikko-koodi]]&gt;0,Alkukysely!$E$17,Alkukysely!$E$18)</f>
        <v>0</v>
      </c>
      <c r="I12" s="46">
        <f>Table16[[#This Row],[Kestävyys-harjoittelu (h)]]+Table16[[#This Row],[Voima-harjoittelu (h)]]</f>
        <v>5.2000000000000011</v>
      </c>
    </row>
    <row r="13" spans="1:16" x14ac:dyDescent="0.25">
      <c r="A13" s="23">
        <f t="shared" si="0"/>
        <v>44207</v>
      </c>
      <c r="B13">
        <f t="shared" si="1"/>
        <v>2</v>
      </c>
      <c r="C13" t="str">
        <f>VLOOKUP(Table16[[#This Row],[Jakso-koodi]],Jaksokoodit,2,FALSE)</f>
        <v>MK pitkä</v>
      </c>
      <c r="D13">
        <v>4</v>
      </c>
      <c r="E13" t="str">
        <f>VLOOKUP(Table16[[#This Row],[Viikko-koodi]],Viikkokoodit,2,TRUE)</f>
        <v>Kevyt</v>
      </c>
      <c r="F13">
        <v>0</v>
      </c>
      <c r="G13" s="46">
        <f>Alkukysely!$D$18</f>
        <v>3</v>
      </c>
      <c r="H13" s="1">
        <f>IF(Table16[[#This Row],[Viikko-koodi]]&gt;0,Alkukysely!$E$17,Alkukysely!$E$18)</f>
        <v>0</v>
      </c>
      <c r="I13" s="46">
        <f>Table16[[#This Row],[Kestävyys-harjoittelu (h)]]+Table16[[#This Row],[Voima-harjoittelu (h)]]</f>
        <v>3</v>
      </c>
      <c r="N13" s="2" t="s">
        <v>90</v>
      </c>
      <c r="O13" t="s">
        <v>22</v>
      </c>
      <c r="P13" t="s">
        <v>36</v>
      </c>
    </row>
    <row r="14" spans="1:16" x14ac:dyDescent="0.25">
      <c r="A14" s="23">
        <f t="shared" si="0"/>
        <v>44214</v>
      </c>
      <c r="B14">
        <f t="shared" si="1"/>
        <v>3</v>
      </c>
      <c r="C14" t="str">
        <f>VLOOKUP(Table16[[#This Row],[Jakso-koodi]],Jaksokoodit,2,FALSE)</f>
        <v>MK lyhyt</v>
      </c>
      <c r="D14">
        <v>5</v>
      </c>
      <c r="E14" t="str">
        <f>VLOOKUP(Table16[[#This Row],[Viikko-koodi]],Viikkokoodit,2,TRUE)</f>
        <v>Kova 1</v>
      </c>
      <c r="F14">
        <v>1</v>
      </c>
      <c r="G14" s="46">
        <f>G11</f>
        <v>4.8000000000000007</v>
      </c>
      <c r="H14" s="1">
        <f>IF(Table16[[#This Row],[Viikko-koodi]]&gt;0,Alkukysely!$E$17,Alkukysely!$E$18)</f>
        <v>0</v>
      </c>
      <c r="I14" s="46">
        <f>Table16[[#This Row],[Kestävyys-harjoittelu (h)]]+Table16[[#This Row],[Voima-harjoittelu (h)]]</f>
        <v>4.8000000000000007</v>
      </c>
      <c r="J14" t="s">
        <v>94</v>
      </c>
      <c r="N14">
        <v>1</v>
      </c>
      <c r="O14" t="s">
        <v>1</v>
      </c>
      <c r="P14">
        <f>COUNTIF(Table16[Jakso-koodi],Table7[[#This Row],[Jaksokoodit]]=Table16[[#This Row],[Jakso-koodi]])</f>
        <v>0</v>
      </c>
    </row>
    <row r="15" spans="1:16" x14ac:dyDescent="0.25">
      <c r="A15" s="23">
        <f t="shared" si="0"/>
        <v>44221</v>
      </c>
      <c r="B15">
        <f t="shared" si="1"/>
        <v>4</v>
      </c>
      <c r="C15" t="str">
        <f>VLOOKUP(Table16[[#This Row],[Jakso-koodi]],Jaksokoodit,2,FALSE)</f>
        <v>MK lyhyt</v>
      </c>
      <c r="D15">
        <v>5</v>
      </c>
      <c r="E15" t="str">
        <f>VLOOKUP(Table16[[#This Row],[Viikko-koodi]],Viikkokoodit,2,TRUE)</f>
        <v>Kova 2</v>
      </c>
      <c r="F15">
        <v>2</v>
      </c>
      <c r="G15" s="46">
        <f>G14+K38</f>
        <v>4.8000000000000007</v>
      </c>
      <c r="H15" s="1">
        <f>IF(Table16[[#This Row],[Viikko-koodi]]&gt;0,Alkukysely!$E$17,Alkukysely!$E$18)</f>
        <v>0</v>
      </c>
      <c r="I15" s="46">
        <f>Table16[[#This Row],[Kestävyys-harjoittelu (h)]]+Table16[[#This Row],[Voima-harjoittelu (h)]]</f>
        <v>4.8000000000000007</v>
      </c>
      <c r="N15">
        <v>2</v>
      </c>
      <c r="O15" t="s">
        <v>26</v>
      </c>
      <c r="P15">
        <f>COUNTIF(Table16[Jakso-koodi],Table7[[#This Row],[Jaksokoodit]]=Table16[[#This Row],[Jakso-koodi]])</f>
        <v>0</v>
      </c>
    </row>
    <row r="16" spans="1:16" x14ac:dyDescent="0.25">
      <c r="A16" s="23">
        <f t="shared" si="0"/>
        <v>44228</v>
      </c>
      <c r="B16">
        <f t="shared" si="1"/>
        <v>5</v>
      </c>
      <c r="C16" t="str">
        <f>VLOOKUP(Table16[[#This Row],[Jakso-koodi]],Jaksokoodit,2,FALSE)</f>
        <v>MK lyhyt</v>
      </c>
      <c r="D16">
        <v>5</v>
      </c>
      <c r="E16" t="str">
        <f>VLOOKUP(Table16[[#This Row],[Viikko-koodi]],Viikkokoodit,2,TRUE)</f>
        <v>Kova 1</v>
      </c>
      <c r="F16">
        <v>1</v>
      </c>
      <c r="G16" s="46">
        <f>G9</f>
        <v>3</v>
      </c>
      <c r="H16" s="1">
        <f>IF(Table16[[#This Row],[Viikko-koodi]]&gt;0,Alkukysely!$E$17,Alkukysely!$E$18)</f>
        <v>0</v>
      </c>
      <c r="I16" s="46">
        <f>Table16[[#This Row],[Kestävyys-harjoittelu (h)]]+Table16[[#This Row],[Voima-harjoittelu (h)]]</f>
        <v>3</v>
      </c>
      <c r="J16" t="s">
        <v>15</v>
      </c>
      <c r="N16">
        <v>3</v>
      </c>
      <c r="O16" t="s">
        <v>27</v>
      </c>
      <c r="P16">
        <f>COUNTIF(Table16[Jakso-koodi],Table7[[#This Row],[Jaksokoodit]]=Table16[[#This Row],[Jakso-koodi]])</f>
        <v>0</v>
      </c>
    </row>
    <row r="17" spans="1:16" x14ac:dyDescent="0.25">
      <c r="A17" s="23">
        <f t="shared" si="0"/>
        <v>44235</v>
      </c>
      <c r="B17">
        <f t="shared" si="1"/>
        <v>6</v>
      </c>
      <c r="C17" t="str">
        <f>VLOOKUP(Table16[[#This Row],[Jakso-koodi]],Jaksokoodit,2,FALSE)</f>
        <v>Anaerobinen kynnys</v>
      </c>
      <c r="D17">
        <v>3</v>
      </c>
      <c r="E17" t="str">
        <f>VLOOKUP(Table16[[#This Row],[Viikko-koodi]],Viikkokoodit,2,TRUE)</f>
        <v>Kova 1</v>
      </c>
      <c r="F17">
        <v>1</v>
      </c>
      <c r="G17" s="46">
        <f>G15</f>
        <v>4.8000000000000007</v>
      </c>
      <c r="H17" s="1">
        <f>IF(Table16[[#This Row],[Viikko-koodi]]&gt;0,Alkukysely!$E$17,Alkukysely!$E$18)</f>
        <v>0</v>
      </c>
      <c r="I17" s="46">
        <f>Table16[[#This Row],[Kestävyys-harjoittelu (h)]]+Table16[[#This Row],[Voima-harjoittelu (h)]]</f>
        <v>4.8000000000000007</v>
      </c>
      <c r="N17">
        <v>4</v>
      </c>
      <c r="O17" t="s">
        <v>20</v>
      </c>
      <c r="P17">
        <f>COUNTIF(Table16[Jakso-koodi],Table7[[#This Row],[Jaksokoodit]]=Table16[[#This Row],[Jakso-koodi]])</f>
        <v>0</v>
      </c>
    </row>
    <row r="18" spans="1:16" x14ac:dyDescent="0.25">
      <c r="A18" s="23">
        <f t="shared" si="0"/>
        <v>44242</v>
      </c>
      <c r="B18">
        <f t="shared" si="1"/>
        <v>7</v>
      </c>
      <c r="C18" t="str">
        <f>VLOOKUP(Table16[[#This Row],[Jakso-koodi]],Jaksokoodit,2,FALSE)</f>
        <v>Anaerobinen kynnys</v>
      </c>
      <c r="D18">
        <v>3</v>
      </c>
      <c r="E18" t="str">
        <f>VLOOKUP(Table16[[#This Row],[Viikko-koodi]],Viikkokoodit,2,TRUE)</f>
        <v>Kova 2</v>
      </c>
      <c r="F18">
        <v>2</v>
      </c>
      <c r="G18" s="46">
        <f>G17+$K$35</f>
        <v>5.6000000000000005</v>
      </c>
      <c r="H18" s="1">
        <f>IF(Table16[[#This Row],[Viikko-koodi]]&gt;0,Alkukysely!$E$17,Alkukysely!$E$18)</f>
        <v>0</v>
      </c>
      <c r="I18" s="46">
        <f>Table16[[#This Row],[Kestävyys-harjoittelu (h)]]+Table16[[#This Row],[Voima-harjoittelu (h)]]</f>
        <v>5.6000000000000005</v>
      </c>
      <c r="N18">
        <v>5</v>
      </c>
      <c r="O18" t="s">
        <v>21</v>
      </c>
      <c r="P18">
        <f>COUNTIF(Table16[Jakso-koodi],Table7[[#This Row],[Jaksokoodit]]=Table16[[#This Row],[Jakso-koodi]])</f>
        <v>0</v>
      </c>
    </row>
    <row r="19" spans="1:16" x14ac:dyDescent="0.25">
      <c r="A19" s="23">
        <f t="shared" si="0"/>
        <v>44249</v>
      </c>
      <c r="B19">
        <f t="shared" si="1"/>
        <v>8</v>
      </c>
      <c r="C19" t="str">
        <f>VLOOKUP(Table16[[#This Row],[Jakso-koodi]],Jaksokoodit,2,FALSE)</f>
        <v>Anaerobinen kynnys</v>
      </c>
      <c r="D19">
        <v>3</v>
      </c>
      <c r="E19" t="str">
        <f>VLOOKUP(Table16[[#This Row],[Viikko-koodi]],Viikkokoodit,2,TRUE)</f>
        <v>Kevyt</v>
      </c>
      <c r="F19">
        <v>0</v>
      </c>
      <c r="G19" s="46">
        <f>Alkukysely!$D$18</f>
        <v>3</v>
      </c>
      <c r="H19" s="1">
        <f>IF(Table16[[#This Row],[Viikko-koodi]]&gt;0,Alkukysely!$E$17,Alkukysely!$E$18)</f>
        <v>0</v>
      </c>
      <c r="I19" s="46">
        <f>Table16[[#This Row],[Kestävyys-harjoittelu (h)]]+Table16[[#This Row],[Voima-harjoittelu (h)]]</f>
        <v>3</v>
      </c>
    </row>
    <row r="20" spans="1:16" x14ac:dyDescent="0.25">
      <c r="A20" s="23">
        <f t="shared" si="0"/>
        <v>44256</v>
      </c>
      <c r="B20">
        <f t="shared" si="1"/>
        <v>9</v>
      </c>
      <c r="C20" t="str">
        <f>VLOOKUP(Table16[[#This Row],[Jakso-koodi]],Jaksokoodit,2,FALSE)</f>
        <v>Anaerobinen kynnys</v>
      </c>
      <c r="D20">
        <v>3</v>
      </c>
      <c r="E20" t="str">
        <f>VLOOKUP(Table16[[#This Row],[Viikko-koodi]],Viikkokoodit,2,TRUE)</f>
        <v>Kova 1</v>
      </c>
      <c r="F20">
        <v>1</v>
      </c>
      <c r="G20" s="46">
        <f>G18</f>
        <v>5.6000000000000005</v>
      </c>
      <c r="H20" s="1">
        <f>IF(Table16[[#This Row],[Viikko-koodi]]&gt;0,Alkukysely!$E$17,Alkukysely!$E$18)</f>
        <v>0</v>
      </c>
      <c r="I20" s="46">
        <f>Table16[[#This Row],[Kestävyys-harjoittelu (h)]]+Table16[[#This Row],[Voima-harjoittelu (h)]]</f>
        <v>5.6000000000000005</v>
      </c>
      <c r="M20" t="s">
        <v>92</v>
      </c>
      <c r="N20" t="s">
        <v>91</v>
      </c>
      <c r="O20" t="s">
        <v>14</v>
      </c>
      <c r="P20" t="s">
        <v>95</v>
      </c>
    </row>
    <row r="21" spans="1:16" x14ac:dyDescent="0.25">
      <c r="A21" s="23">
        <f t="shared" si="0"/>
        <v>44263</v>
      </c>
      <c r="B21">
        <f t="shared" si="1"/>
        <v>10</v>
      </c>
      <c r="C21" t="str">
        <f>VLOOKUP(Table16[[#This Row],[Jakso-koodi]],Jaksokoodit,2,FALSE)</f>
        <v>Anaerobinen kynnys</v>
      </c>
      <c r="D21">
        <v>3</v>
      </c>
      <c r="E21" t="str">
        <f>VLOOKUP(Table16[[#This Row],[Viikko-koodi]],Viikkokoodit,2,TRUE)</f>
        <v>Kova 2</v>
      </c>
      <c r="F21">
        <v>2</v>
      </c>
      <c r="G21" s="46">
        <f>G20+$K$34</f>
        <v>6.0000000000000009</v>
      </c>
      <c r="H21" s="1">
        <f>IF(Table16[[#This Row],[Viikko-koodi]]&gt;0,Alkukysely!$E$17,Alkukysely!$E$18)</f>
        <v>0</v>
      </c>
      <c r="I21" s="46">
        <f>Table16[[#This Row],[Kestävyys-harjoittelu (h)]]+Table16[[#This Row],[Voima-harjoittelu (h)]]</f>
        <v>6.0000000000000009</v>
      </c>
      <c r="M21">
        <f>COUNTIF(Table16[Jakso-koodi],"=1")</f>
        <v>3</v>
      </c>
      <c r="N21">
        <f>COUNTIFS(Table16[Jakso-koodi],"=1",Table16[Viikko-koodi],"&gt;0")</f>
        <v>2</v>
      </c>
      <c r="O21" t="s">
        <v>1</v>
      </c>
      <c r="P21">
        <f>IF($N$27&gt;1,N21*2,N21)</f>
        <v>2</v>
      </c>
    </row>
    <row r="22" spans="1:16" x14ac:dyDescent="0.25">
      <c r="A22" s="23">
        <f t="shared" si="0"/>
        <v>44270</v>
      </c>
      <c r="B22">
        <f t="shared" si="1"/>
        <v>11</v>
      </c>
      <c r="C22" t="str">
        <f>VLOOKUP(Table16[[#This Row],[Jakso-koodi]],Jaksokoodit,2,FALSE)</f>
        <v>Anaerobinen kynnys</v>
      </c>
      <c r="D22">
        <v>3</v>
      </c>
      <c r="E22" t="str">
        <f>VLOOKUP(Table16[[#This Row],[Viikko-koodi]],Viikkokoodit,2,TRUE)</f>
        <v>Kova 1</v>
      </c>
      <c r="F22">
        <v>1</v>
      </c>
      <c r="G22" s="46">
        <f>Alkukysely!$D$18</f>
        <v>3</v>
      </c>
      <c r="H22" s="1">
        <f>IF(Table16[[#This Row],[Viikko-koodi]]&gt;0,Alkukysely!$E$17,Alkukysely!$E$18)</f>
        <v>0</v>
      </c>
      <c r="I22" s="46">
        <f>Table16[[#This Row],[Kestävyys-harjoittelu (h)]]+Table16[[#This Row],[Voima-harjoittelu (h)]]</f>
        <v>3</v>
      </c>
      <c r="J22" t="s">
        <v>16</v>
      </c>
      <c r="M22">
        <f>COUNTIF(Table16[Jakso-koodi],"=4")</f>
        <v>8</v>
      </c>
      <c r="N22">
        <f>COUNTIFS(Table16[Jakso-koodi],"=4",Table16[Viikko-koodi],"&gt;0")</f>
        <v>6</v>
      </c>
      <c r="O22" t="s">
        <v>20</v>
      </c>
      <c r="P22">
        <f>IF($N$27&gt;1,N22*2,N22)</f>
        <v>6</v>
      </c>
    </row>
    <row r="23" spans="1:16" x14ac:dyDescent="0.25">
      <c r="A23" s="23">
        <f t="shared" si="0"/>
        <v>44277</v>
      </c>
      <c r="B23">
        <f t="shared" si="1"/>
        <v>12</v>
      </c>
      <c r="C23" t="str">
        <f>VLOOKUP(Table16[[#This Row],[Jakso-koodi]],Jaksokoodit,2,FALSE)</f>
        <v>Vauhtikestävyys</v>
      </c>
      <c r="D23">
        <v>2</v>
      </c>
      <c r="E23" t="str">
        <f>VLOOKUP(Table16[[#This Row],[Viikko-koodi]],Viikkokoodit,2,TRUE)</f>
        <v>Kova 1</v>
      </c>
      <c r="F23">
        <v>1</v>
      </c>
      <c r="G23" s="46">
        <f>G20</f>
        <v>5.6000000000000005</v>
      </c>
      <c r="H23" s="1">
        <f>IF(Table16[[#This Row],[Viikko-koodi]]&gt;0,Alkukysely!$E$17,Alkukysely!$E$18)</f>
        <v>0</v>
      </c>
      <c r="I23" s="46">
        <f>Table16[[#This Row],[Kestävyys-harjoittelu (h)]]+Table16[[#This Row],[Voima-harjoittelu (h)]]</f>
        <v>5.6000000000000005</v>
      </c>
      <c r="M23">
        <f>COUNTIF(Table16[Jakso-koodi],"=5")</f>
        <v>3</v>
      </c>
      <c r="N23">
        <f>COUNTIFS(Table16[Jakso-koodi],"=5",Table16[Viikko-koodi],"&gt;0")</f>
        <v>3</v>
      </c>
      <c r="O23" t="s">
        <v>21</v>
      </c>
      <c r="P23">
        <f>IF($N$27&gt;1,N23*2,N23)</f>
        <v>3</v>
      </c>
    </row>
    <row r="24" spans="1:16" x14ac:dyDescent="0.25">
      <c r="A24" s="23">
        <f t="shared" si="0"/>
        <v>44284</v>
      </c>
      <c r="B24">
        <f t="shared" si="1"/>
        <v>13</v>
      </c>
      <c r="C24" t="str">
        <f>VLOOKUP(Table16[[#This Row],[Jakso-koodi]],Jaksokoodit,2,FALSE)</f>
        <v>Vauhtikestävyys</v>
      </c>
      <c r="D24">
        <v>2</v>
      </c>
      <c r="E24" t="str">
        <f>VLOOKUP(Table16[[#This Row],[Viikko-koodi]],Viikkokoodit,2,TRUE)</f>
        <v>Kova 2</v>
      </c>
      <c r="F24">
        <v>2</v>
      </c>
      <c r="G24" s="46">
        <f>G23+$K$34</f>
        <v>6.0000000000000009</v>
      </c>
      <c r="H24" s="1">
        <f>IF(Table16[[#This Row],[Viikko-koodi]]&gt;0,Alkukysely!$E$17,Alkukysely!$E$18)</f>
        <v>0</v>
      </c>
      <c r="I24" s="46">
        <f>Table16[[#This Row],[Kestävyys-harjoittelu (h)]]+Table16[[#This Row],[Voima-harjoittelu (h)]]</f>
        <v>6.0000000000000009</v>
      </c>
      <c r="M24">
        <f>COUNTIF(Table16[Jakso-koodi],"=3")</f>
        <v>6</v>
      </c>
      <c r="N24">
        <f>COUNTIFS(Table16[Jakso-koodi],"=3",Table16[Viikko-koodi],"&gt;0")</f>
        <v>5</v>
      </c>
      <c r="O24" t="s">
        <v>27</v>
      </c>
      <c r="P24">
        <f>IF($N$27&gt;1,N24*2,N24)</f>
        <v>5</v>
      </c>
    </row>
    <row r="25" spans="1:16" x14ac:dyDescent="0.25">
      <c r="A25" s="23">
        <f t="shared" si="0"/>
        <v>44291</v>
      </c>
      <c r="B25">
        <f t="shared" si="1"/>
        <v>14</v>
      </c>
      <c r="C25" t="str">
        <f>VLOOKUP(Table16[[#This Row],[Jakso-koodi]],Jaksokoodit,2,FALSE)</f>
        <v>Vauhtikestävyys</v>
      </c>
      <c r="D25">
        <v>2</v>
      </c>
      <c r="E25" t="str">
        <f>VLOOKUP(Table16[[#This Row],[Viikko-koodi]],Viikkokoodit,2,TRUE)</f>
        <v>Kevyt</v>
      </c>
      <c r="F25">
        <v>0</v>
      </c>
      <c r="G25" s="46">
        <f>Alkukysely!$D$18</f>
        <v>3</v>
      </c>
      <c r="H25" s="1">
        <f>IF(Table16[[#This Row],[Viikko-koodi]]&gt;0,Alkukysely!$E$17,Alkukysely!$E$18)</f>
        <v>0</v>
      </c>
      <c r="I25" s="46">
        <f>Table16[[#This Row],[Kestävyys-harjoittelu (h)]]+Table16[[#This Row],[Voima-harjoittelu (h)]]</f>
        <v>3</v>
      </c>
      <c r="M25">
        <f>COUNTIF(Table16[Jakso-koodi],"=2")</f>
        <v>7</v>
      </c>
      <c r="N25">
        <f>COUNTIFS(Table16[Jakso-koodi],"=2",Table16[Viikko-koodi],"&gt;0")</f>
        <v>6</v>
      </c>
      <c r="O25" t="s">
        <v>26</v>
      </c>
      <c r="P25">
        <f>IF($N$27&gt;1,N25*2,N25)</f>
        <v>6</v>
      </c>
    </row>
    <row r="26" spans="1:16" x14ac:dyDescent="0.25">
      <c r="A26" s="23">
        <f t="shared" si="0"/>
        <v>44298</v>
      </c>
      <c r="B26">
        <f t="shared" si="1"/>
        <v>15</v>
      </c>
      <c r="C26" t="str">
        <f>VLOOKUP(Table16[[#This Row],[Jakso-koodi]],Jaksokoodit,2,FALSE)</f>
        <v>Vauhtikestävyys</v>
      </c>
      <c r="D26">
        <v>2</v>
      </c>
      <c r="E26" t="str">
        <f>VLOOKUP(Table16[[#This Row],[Viikko-koodi]],Viikkokoodit,2,TRUE)</f>
        <v>Kova 1</v>
      </c>
      <c r="F26">
        <v>1</v>
      </c>
      <c r="G26" s="46">
        <f>G23</f>
        <v>5.6000000000000005</v>
      </c>
      <c r="H26" s="1">
        <f>IF(Table16[[#This Row],[Viikko-koodi]]&gt;0,Alkukysely!$E$17,Alkukysely!$E$18)</f>
        <v>0</v>
      </c>
      <c r="I26" s="46">
        <f>Table16[[#This Row],[Kestävyys-harjoittelu (h)]]+Table16[[#This Row],[Voima-harjoittelu (h)]]</f>
        <v>5.6000000000000005</v>
      </c>
    </row>
    <row r="27" spans="1:16" x14ac:dyDescent="0.25">
      <c r="A27" s="23">
        <f t="shared" si="0"/>
        <v>44305</v>
      </c>
      <c r="B27">
        <f t="shared" si="1"/>
        <v>16</v>
      </c>
      <c r="C27" t="str">
        <f>VLOOKUP(Table16[[#This Row],[Jakso-koodi]],Jaksokoodit,2,FALSE)</f>
        <v>Vauhtikestävyys</v>
      </c>
      <c r="D27">
        <v>2</v>
      </c>
      <c r="E27" t="str">
        <f>VLOOKUP(Table16[[#This Row],[Viikko-koodi]],Viikkokoodit,2,TRUE)</f>
        <v>Kova 1</v>
      </c>
      <c r="F27">
        <v>1</v>
      </c>
      <c r="G27" s="46">
        <f>G26+$K$34</f>
        <v>6.0000000000000009</v>
      </c>
      <c r="H27" s="1">
        <f>IF(Table16[[#This Row],[Viikko-koodi]]&gt;0,Alkukysely!$E$17,Alkukysely!$E$18)</f>
        <v>0</v>
      </c>
      <c r="I27" s="46">
        <f>Table16[[#This Row],[Kestävyys-harjoittelu (h)]]+Table16[[#This Row],[Voima-harjoittelu (h)]]</f>
        <v>6.0000000000000009</v>
      </c>
      <c r="J27" t="s">
        <v>150</v>
      </c>
      <c r="M27" t="s">
        <v>96</v>
      </c>
      <c r="N27">
        <f>Alkukysely!E4</f>
        <v>1</v>
      </c>
    </row>
    <row r="28" spans="1:16" x14ac:dyDescent="0.25">
      <c r="A28" s="23">
        <f t="shared" si="0"/>
        <v>44312</v>
      </c>
      <c r="B28">
        <f t="shared" si="1"/>
        <v>17</v>
      </c>
      <c r="C28" t="str">
        <f>VLOOKUP(Table16[[#This Row],[Jakso-koodi]],Jaksokoodit,2,FALSE)</f>
        <v>Vauhtikestävyys</v>
      </c>
      <c r="D28">
        <v>2</v>
      </c>
      <c r="E28" t="str">
        <f>VLOOKUP(Table16[[#This Row],[Viikko-koodi]],Viikkokoodit,2,TRUE)</f>
        <v>Kova 1</v>
      </c>
      <c r="F28">
        <v>1</v>
      </c>
      <c r="G28" s="46">
        <f>G27</f>
        <v>6.0000000000000009</v>
      </c>
      <c r="H28" s="1">
        <f>IF(Table16[[#This Row],[Viikko-koodi]]&gt;0,Alkukysely!$E$17,Alkukysely!$E$18)</f>
        <v>0</v>
      </c>
      <c r="I28" s="46">
        <f>Table16[[#This Row],[Kestävyys-harjoittelu (h)]]+Table16[[#This Row],[Voima-harjoittelu (h)]]</f>
        <v>6.0000000000000009</v>
      </c>
    </row>
    <row r="29" spans="1:16" x14ac:dyDescent="0.25">
      <c r="A29" s="23">
        <f t="shared" si="0"/>
        <v>44319</v>
      </c>
      <c r="B29">
        <f t="shared" si="1"/>
        <v>18</v>
      </c>
      <c r="C29" t="str">
        <f>VLOOKUP(Table16[[#This Row],[Jakso-koodi]],Jaksokoodit,2,FALSE)</f>
        <v>Vauhtikestävyys</v>
      </c>
      <c r="D29">
        <v>2</v>
      </c>
      <c r="E29" t="str">
        <f>VLOOKUP(Table16[[#This Row],[Viikko-koodi]],Viikkokoodit,2,TRUE)</f>
        <v>Kova 2</v>
      </c>
      <c r="F29">
        <v>2</v>
      </c>
      <c r="G29" s="46">
        <f>G28</f>
        <v>6.0000000000000009</v>
      </c>
      <c r="H29" s="1">
        <f>IF(Table16[[#This Row],[Viikko-koodi]]&gt;0,Alkukysely!$E$17,Alkukysely!$E$18)</f>
        <v>0</v>
      </c>
      <c r="I29" s="46">
        <f>Table16[[#This Row],[Kestävyys-harjoittelu (h)]]+Table16[[#This Row],[Voima-harjoittelu (h)]]</f>
        <v>6.0000000000000009</v>
      </c>
      <c r="M29" t="s">
        <v>80</v>
      </c>
      <c r="N29" s="1">
        <f>Alkukysely!$D$17</f>
        <v>6</v>
      </c>
    </row>
    <row r="30" spans="1:16" x14ac:dyDescent="0.25">
      <c r="A30" s="23"/>
      <c r="B30" s="38">
        <f>COUNT(B2:B29)</f>
        <v>28</v>
      </c>
      <c r="F30">
        <f>COUNTIFS(Table16[Viikko-koodi],"&gt;0",Table16[Viikko-koodi],"&lt;4")</f>
        <v>23</v>
      </c>
      <c r="G30">
        <f>SUM(G3:G29)</f>
        <v>125.39999999999998</v>
      </c>
      <c r="M30" t="s">
        <v>79</v>
      </c>
      <c r="N30" s="1">
        <f>Alkukysely!$D$16</f>
        <v>4</v>
      </c>
    </row>
    <row r="31" spans="1:16" x14ac:dyDescent="0.25">
      <c r="G31" s="46">
        <f>AVERAGE(G3:G29)</f>
        <v>4.6444444444444439</v>
      </c>
    </row>
    <row r="32" spans="1:16" x14ac:dyDescent="0.25">
      <c r="K32" t="s">
        <v>98</v>
      </c>
    </row>
    <row r="33" spans="10:11" x14ac:dyDescent="0.25">
      <c r="J33" t="s">
        <v>97</v>
      </c>
      <c r="K33" s="27">
        <f>($N$29-$N$30)/(N21-1)</f>
        <v>2</v>
      </c>
    </row>
    <row r="34" spans="10:11" x14ac:dyDescent="0.25">
      <c r="J34" t="s">
        <v>20</v>
      </c>
      <c r="K34" s="27">
        <f>($N$29-$N$30)/(N22-1)</f>
        <v>0.4</v>
      </c>
    </row>
    <row r="35" spans="10:11" x14ac:dyDescent="0.25">
      <c r="J35" t="s">
        <v>99</v>
      </c>
      <c r="K35" s="27">
        <f>($N$29-G7)/(N23-1)</f>
        <v>0.79999999999999982</v>
      </c>
    </row>
    <row r="36" spans="10:11" x14ac:dyDescent="0.25">
      <c r="J36" t="s">
        <v>20</v>
      </c>
      <c r="K36" s="27"/>
    </row>
    <row r="37" spans="10:11" x14ac:dyDescent="0.25">
      <c r="J37" t="s">
        <v>21</v>
      </c>
      <c r="K37" s="27"/>
    </row>
  </sheetData>
  <pageMargins left="0.7" right="0.7" top="0.75" bottom="0.75" header="0.3" footer="0.3"/>
  <pageSetup paperSize="9" orientation="portrait" verticalDpi="0"/>
  <drawing r:id="rId1"/>
  <tableParts count="3">
    <tablePart r:id="rId2"/>
    <tablePart r:id="rId3"/>
    <tablePart r:id="rId4"/>
  </tablePart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59"/>
  <sheetViews>
    <sheetView workbookViewId="0">
      <selection activeCell="K22" sqref="K22"/>
    </sheetView>
  </sheetViews>
  <sheetFormatPr defaultColWidth="8.875" defaultRowHeight="15.75" x14ac:dyDescent="0.25"/>
  <cols>
    <col min="1" max="1" width="12.5" customWidth="1"/>
    <col min="7" max="7" width="18.625" customWidth="1"/>
    <col min="8" max="8" width="15.125" customWidth="1"/>
    <col min="9" max="9" width="12.125" customWidth="1"/>
    <col min="10" max="10" width="11.5" customWidth="1"/>
    <col min="11" max="11" width="13.375" customWidth="1"/>
    <col min="12" max="12" width="6.625" customWidth="1"/>
    <col min="13" max="13" width="7" customWidth="1"/>
    <col min="14" max="14" width="7.625" customWidth="1"/>
    <col min="15" max="15" width="9.125" customWidth="1"/>
    <col min="16" max="16" width="8.125" customWidth="1"/>
    <col min="17" max="17" width="9.125" customWidth="1"/>
    <col min="18" max="18" width="13.125" customWidth="1"/>
    <col min="19" max="19" width="10.625" customWidth="1"/>
    <col min="20" max="20" width="12.125" style="55" customWidth="1"/>
    <col min="21" max="21" width="6.875" customWidth="1"/>
    <col min="22" max="23" width="11.625" customWidth="1"/>
    <col min="24" max="25" width="6.625" customWidth="1"/>
    <col min="26" max="26" width="6.875" customWidth="1"/>
    <col min="27" max="27" width="6.125" customWidth="1"/>
    <col min="28" max="28" width="8.5" customWidth="1"/>
    <col min="29" max="29" width="8.375" customWidth="1"/>
    <col min="30" max="30" width="12.625" customWidth="1"/>
    <col min="31" max="31" width="13.625" customWidth="1"/>
    <col min="32" max="32" width="8.625" customWidth="1"/>
    <col min="33" max="33" width="12.875" customWidth="1"/>
  </cols>
  <sheetData>
    <row r="1" spans="1:35" ht="33" customHeight="1" x14ac:dyDescent="0.25">
      <c r="A1" s="62" t="s">
        <v>23</v>
      </c>
      <c r="B1" s="63" t="s">
        <v>102</v>
      </c>
      <c r="C1" s="63" t="s">
        <v>14</v>
      </c>
      <c r="D1" s="63" t="s">
        <v>101</v>
      </c>
      <c r="E1" s="63" t="s">
        <v>17</v>
      </c>
      <c r="F1" s="63" t="s">
        <v>100</v>
      </c>
      <c r="G1" s="64" t="s">
        <v>106</v>
      </c>
      <c r="H1" s="63" t="s">
        <v>18</v>
      </c>
      <c r="I1" s="63" t="s">
        <v>129</v>
      </c>
      <c r="J1" s="63" t="s">
        <v>133</v>
      </c>
      <c r="K1" s="63" t="s">
        <v>134</v>
      </c>
      <c r="L1" s="63" t="s">
        <v>127</v>
      </c>
      <c r="M1" s="63" t="s">
        <v>137</v>
      </c>
      <c r="N1" s="63" t="s">
        <v>130</v>
      </c>
      <c r="O1" s="63" t="s">
        <v>140</v>
      </c>
      <c r="P1" s="63" t="s">
        <v>141</v>
      </c>
      <c r="Q1" s="63" t="s">
        <v>142</v>
      </c>
      <c r="R1" s="63" t="s">
        <v>132</v>
      </c>
      <c r="S1" s="63" t="s">
        <v>136</v>
      </c>
      <c r="T1" s="109" t="s">
        <v>135</v>
      </c>
      <c r="U1" s="63" t="s">
        <v>88</v>
      </c>
      <c r="V1" s="63" t="s">
        <v>129</v>
      </c>
      <c r="W1" s="63" t="s">
        <v>133</v>
      </c>
      <c r="X1" s="63" t="s">
        <v>134</v>
      </c>
      <c r="Y1" s="63" t="s">
        <v>127</v>
      </c>
      <c r="Z1" s="63" t="s">
        <v>137</v>
      </c>
      <c r="AA1" s="63" t="s">
        <v>30</v>
      </c>
      <c r="AB1" s="63" t="s">
        <v>140</v>
      </c>
      <c r="AC1" s="63" t="s">
        <v>141</v>
      </c>
      <c r="AD1" s="63" t="s">
        <v>142</v>
      </c>
      <c r="AE1" s="63" t="s">
        <v>132</v>
      </c>
      <c r="AF1" s="63" t="s">
        <v>128</v>
      </c>
      <c r="AG1" s="63" t="s">
        <v>135</v>
      </c>
      <c r="AH1" s="63" t="s">
        <v>170</v>
      </c>
      <c r="AI1" s="63" t="s">
        <v>189</v>
      </c>
    </row>
    <row r="2" spans="1:35" x14ac:dyDescent="0.25">
      <c r="A2" s="65">
        <v>44130</v>
      </c>
      <c r="B2" s="57">
        <f t="shared" ref="B2:B29" si="0">WEEKNUM(A2,21)</f>
        <v>44</v>
      </c>
      <c r="C2" s="57" t="s">
        <v>24</v>
      </c>
      <c r="D2" s="57"/>
      <c r="E2" s="57" t="str">
        <f>VLOOKUP(Table16[[#This Row],[Viikko-koodi]],Viikkokoodit,2,TRUE)</f>
        <v>Kova 1</v>
      </c>
      <c r="F2" s="57">
        <v>0</v>
      </c>
      <c r="G2" s="61" t="s">
        <v>94</v>
      </c>
      <c r="H2" s="66" t="s">
        <v>275</v>
      </c>
      <c r="I2" s="66"/>
      <c r="J2" s="75">
        <v>0</v>
      </c>
      <c r="K2" s="60">
        <f ca="1">J2*Harjoitusalueet!$C$5</f>
        <v>0</v>
      </c>
      <c r="L2" s="66"/>
      <c r="M2" s="66"/>
      <c r="N2" s="66"/>
      <c r="O2" s="66"/>
      <c r="P2" s="66"/>
      <c r="Q2" s="68" t="e">
        <f ca="1">((R2*60)*K2*J2)/(Harjoitusalueet!$C$5*3600)*100</f>
        <v>#DIV/0!</v>
      </c>
      <c r="R2" s="66">
        <f t="shared" ref="R2:R5" si="1">L2*M2*N2</f>
        <v>0</v>
      </c>
      <c r="S2" s="66">
        <f>P2*(M2-1)+O2*(L2-1)</f>
        <v>0</v>
      </c>
      <c r="T2" s="110">
        <f>I2-R2-S2</f>
        <v>0</v>
      </c>
      <c r="U2" s="66"/>
      <c r="V2" s="66"/>
      <c r="W2" s="75"/>
      <c r="X2" s="66">
        <f ca="1">W2*Harjoitusalueet!$C$5</f>
        <v>0</v>
      </c>
      <c r="Y2" s="66"/>
      <c r="Z2" s="66"/>
      <c r="AA2" s="66"/>
      <c r="AB2" s="66"/>
      <c r="AC2" s="66"/>
      <c r="AD2" s="68" t="e">
        <f ca="1">((AE2*60)*X2*W2)/(Harjoitusalueet!$C$5*3600)*100</f>
        <v>#DIV/0!</v>
      </c>
      <c r="AE2" s="66">
        <f>Y2*Z2*AA2</f>
        <v>0</v>
      </c>
      <c r="AF2" s="66">
        <f>AC2*(Z2-1)+AB2*(Y2-1)</f>
        <v>0</v>
      </c>
      <c r="AG2" s="66">
        <f>V2-AE2-AF2</f>
        <v>0</v>
      </c>
      <c r="AH2" s="66" t="s">
        <v>296</v>
      </c>
      <c r="AI2" s="66" t="s">
        <v>277</v>
      </c>
    </row>
    <row r="3" spans="1:35" x14ac:dyDescent="0.25">
      <c r="A3" s="67">
        <f t="shared" ref="A3:A29" si="2">A2+7</f>
        <v>44137</v>
      </c>
      <c r="B3" s="58">
        <f t="shared" si="0"/>
        <v>45</v>
      </c>
      <c r="C3" s="58" t="str">
        <f>VLOOKUP(Table16[[#This Row],[Jakso-koodi]],Jaksokoodit,2,FALSE)</f>
        <v>Peruskestävyys</v>
      </c>
      <c r="D3" s="58">
        <v>1</v>
      </c>
      <c r="E3" s="58" t="str">
        <f>VLOOKUP(Table16[[#This Row],[Viikko-koodi]],Viikkokoodit,2,TRUE)</f>
        <v>Kova 2</v>
      </c>
      <c r="F3" s="58">
        <v>1</v>
      </c>
      <c r="G3" s="69" t="s">
        <v>93</v>
      </c>
      <c r="H3" s="66" t="s">
        <v>276</v>
      </c>
      <c r="I3" s="66">
        <v>20</v>
      </c>
      <c r="J3" s="75">
        <v>1</v>
      </c>
      <c r="K3" s="60">
        <f ca="1">J3*Harjoitusalueet!$C$5</f>
        <v>0</v>
      </c>
      <c r="L3" s="66">
        <v>1</v>
      </c>
      <c r="M3" s="66">
        <v>1</v>
      </c>
      <c r="N3" s="66">
        <v>20</v>
      </c>
      <c r="O3" s="66"/>
      <c r="P3" s="66">
        <v>0</v>
      </c>
      <c r="Q3" s="68" t="e">
        <f ca="1">((R3*60)*K3*J3)/(Harjoitusalueet!$C$5*3600)*100</f>
        <v>#DIV/0!</v>
      </c>
      <c r="R3" s="66">
        <f t="shared" si="1"/>
        <v>20</v>
      </c>
      <c r="S3" s="66">
        <f>P3*(M3-1)+O3*(L3-1)</f>
        <v>0</v>
      </c>
      <c r="T3" s="110">
        <f t="shared" ref="T3:T29" si="3">I3-R3-S3</f>
        <v>0</v>
      </c>
      <c r="U3" s="68" t="s">
        <v>126</v>
      </c>
      <c r="V3" s="68">
        <v>80</v>
      </c>
      <c r="W3" s="76" t="e">
        <f ca="1">X3/Harjoitusalueet!$C$5</f>
        <v>#DIV/0!</v>
      </c>
      <c r="X3" s="66">
        <f ca="1">Harjoitusalueet!$D$42</f>
        <v>0</v>
      </c>
      <c r="Y3" s="68">
        <v>1</v>
      </c>
      <c r="Z3" s="68">
        <v>1</v>
      </c>
      <c r="AA3" s="68">
        <v>20</v>
      </c>
      <c r="AB3" s="68"/>
      <c r="AC3" s="68"/>
      <c r="AD3" s="68" t="e">
        <f ca="1">((AE3*60)*X3*W3)/(Harjoitusalueet!$C$5*3600)*100</f>
        <v>#DIV/0!</v>
      </c>
      <c r="AE3" s="66">
        <f t="shared" ref="AE3:AE5" si="4">Y3*Z3*AA3</f>
        <v>20</v>
      </c>
      <c r="AF3" s="66">
        <f>AC3*(Z3-1)+AB3*(Y3-1)</f>
        <v>0</v>
      </c>
      <c r="AG3" s="66">
        <f t="shared" ref="AG3:AG29" si="5">V3-AE3-AF3</f>
        <v>60</v>
      </c>
      <c r="AH3" s="66" t="s">
        <v>297</v>
      </c>
      <c r="AI3" s="68"/>
    </row>
    <row r="4" spans="1:35" x14ac:dyDescent="0.25">
      <c r="A4" s="65">
        <f t="shared" si="2"/>
        <v>44144</v>
      </c>
      <c r="B4" s="57">
        <f t="shared" si="0"/>
        <v>46</v>
      </c>
      <c r="C4" s="57" t="str">
        <f>VLOOKUP(Table16[[#This Row],[Jakso-koodi]],Jaksokoodit,2,FALSE)</f>
        <v>Peruskestävyys</v>
      </c>
      <c r="D4" s="57">
        <v>1</v>
      </c>
      <c r="E4" s="57" t="str">
        <f>VLOOKUP(Table16[[#This Row],[Viikko-koodi]],Viikkokoodit,2,TRUE)</f>
        <v>Kova 3</v>
      </c>
      <c r="F4" s="57">
        <v>2</v>
      </c>
      <c r="G4" s="61"/>
      <c r="H4" s="66" t="s">
        <v>161</v>
      </c>
      <c r="I4" s="66">
        <v>60</v>
      </c>
      <c r="J4" s="75">
        <v>0.9</v>
      </c>
      <c r="K4" s="60">
        <f ca="1">J4*Harjoitusalueet!$C$5</f>
        <v>0</v>
      </c>
      <c r="L4" s="66">
        <v>1</v>
      </c>
      <c r="M4" s="66">
        <v>3</v>
      </c>
      <c r="N4" s="66">
        <v>10</v>
      </c>
      <c r="O4" s="66"/>
      <c r="P4" s="66">
        <v>2</v>
      </c>
      <c r="Q4" s="68" t="e">
        <f ca="1">((R4*60)*K4*J4)/(Harjoitusalueet!$C$5*3600)*100</f>
        <v>#DIV/0!</v>
      </c>
      <c r="R4" s="66">
        <f t="shared" si="1"/>
        <v>30</v>
      </c>
      <c r="S4" s="66">
        <f>P4*(M4-1)+O4*(L4-1)</f>
        <v>4</v>
      </c>
      <c r="T4" s="110">
        <f t="shared" si="3"/>
        <v>26</v>
      </c>
      <c r="U4" s="66"/>
      <c r="V4" s="66">
        <v>90</v>
      </c>
      <c r="W4" s="75">
        <v>0.87</v>
      </c>
      <c r="X4" s="66">
        <f ca="1">W4*Harjoitusalueet!$C$5</f>
        <v>0</v>
      </c>
      <c r="Y4" s="66">
        <v>1</v>
      </c>
      <c r="Z4" s="66">
        <v>2</v>
      </c>
      <c r="AA4" s="66">
        <v>20</v>
      </c>
      <c r="AB4" s="66"/>
      <c r="AC4" s="66">
        <v>5</v>
      </c>
      <c r="AD4" s="68" t="e">
        <f ca="1">((AE4*60)*X4*W4)/(Harjoitusalueet!$C$5*3600)*100</f>
        <v>#DIV/0!</v>
      </c>
      <c r="AE4" s="66">
        <f t="shared" si="4"/>
        <v>40</v>
      </c>
      <c r="AF4" s="66">
        <f>AC4*(Z4-1)+AB4*(Y4-1)</f>
        <v>5</v>
      </c>
      <c r="AG4" s="66">
        <f t="shared" si="5"/>
        <v>45</v>
      </c>
      <c r="AH4" s="66" t="s">
        <v>278</v>
      </c>
      <c r="AI4" s="66" t="s">
        <v>195</v>
      </c>
    </row>
    <row r="5" spans="1:35" x14ac:dyDescent="0.25">
      <c r="A5" s="67">
        <f t="shared" si="2"/>
        <v>44151</v>
      </c>
      <c r="B5" s="58">
        <f t="shared" si="0"/>
        <v>47</v>
      </c>
      <c r="C5" s="58" t="str">
        <f>VLOOKUP(Table16[[#This Row],[Jakso-koodi]],Jaksokoodit,2,FALSE)</f>
        <v>Peruskestävyys</v>
      </c>
      <c r="D5" s="58">
        <v>1</v>
      </c>
      <c r="E5" s="58" t="str">
        <f>VLOOKUP(Table16[[#This Row],[Viikko-koodi]],Viikkokoodit,2,TRUE)</f>
        <v>Kevyt</v>
      </c>
      <c r="F5" s="58">
        <v>0</v>
      </c>
      <c r="G5" s="69"/>
      <c r="H5" s="68" t="s">
        <v>61</v>
      </c>
      <c r="I5" s="68"/>
      <c r="J5" s="76">
        <v>0</v>
      </c>
      <c r="K5" s="60">
        <f ca="1">J5*Harjoitusalueet!$C$5</f>
        <v>0</v>
      </c>
      <c r="L5" s="68"/>
      <c r="M5" s="68"/>
      <c r="N5" s="68"/>
      <c r="O5" s="68"/>
      <c r="P5" s="68"/>
      <c r="Q5" s="68" t="e">
        <f ca="1">((R5*60)*K5*J5)/(Harjoitusalueet!$C$5*3600)*100</f>
        <v>#DIV/0!</v>
      </c>
      <c r="R5" s="66">
        <f t="shared" si="1"/>
        <v>0</v>
      </c>
      <c r="S5" s="66">
        <f t="shared" ref="S5:S29" si="6">P5*(M5-1)+O5*(L5-1)</f>
        <v>0</v>
      </c>
      <c r="T5" s="110">
        <f t="shared" si="3"/>
        <v>0</v>
      </c>
      <c r="U5" s="68"/>
      <c r="V5" s="68"/>
      <c r="W5" s="76"/>
      <c r="X5" s="66">
        <f ca="1">W5*Harjoitusalueet!$C$5</f>
        <v>0</v>
      </c>
      <c r="Y5" s="68"/>
      <c r="Z5" s="68"/>
      <c r="AA5" s="68"/>
      <c r="AB5" s="68"/>
      <c r="AC5" s="68"/>
      <c r="AD5" s="68" t="e">
        <f ca="1">((AE5*60)*X5*W5)/(Harjoitusalueet!$C$5*3600)*100</f>
        <v>#DIV/0!</v>
      </c>
      <c r="AE5" s="66">
        <f t="shared" si="4"/>
        <v>0</v>
      </c>
      <c r="AF5" s="66">
        <f t="shared" ref="AF5:AF29" si="7">AC5*(Z5-1)+AB5*(Y5-1)</f>
        <v>0</v>
      </c>
      <c r="AG5" s="66">
        <f t="shared" si="5"/>
        <v>0</v>
      </c>
      <c r="AH5" s="68"/>
      <c r="AI5" s="68"/>
    </row>
    <row r="6" spans="1:35" x14ac:dyDescent="0.25">
      <c r="A6" s="65">
        <f t="shared" si="2"/>
        <v>44158</v>
      </c>
      <c r="B6" s="58">
        <f t="shared" ref="B6:B7" si="8">WEEKNUM(A6,21)</f>
        <v>48</v>
      </c>
      <c r="C6" s="58" t="str">
        <f>VLOOKUP(Table16[[#This Row],[Jakso-koodi]],Jaksokoodit,2,FALSE)</f>
        <v>MK pitkä</v>
      </c>
      <c r="D6" s="58">
        <v>4</v>
      </c>
      <c r="E6" s="58" t="str">
        <f>VLOOKUP(Table16[[#This Row],[Viikko-koodi]],Viikkokoodit,2,TRUE)</f>
        <v>Kova 1</v>
      </c>
      <c r="F6" s="58">
        <v>1</v>
      </c>
      <c r="G6" s="69"/>
      <c r="H6" s="68" t="s">
        <v>153</v>
      </c>
      <c r="I6" s="68">
        <v>70</v>
      </c>
      <c r="J6" s="76" t="e">
        <f ca="1">K6/Harjoitusalueet!$C$5</f>
        <v>#DIV/0!</v>
      </c>
      <c r="K6" s="66">
        <f ca="1">Harjoitusalueet!$D$52</f>
        <v>0</v>
      </c>
      <c r="L6" s="68">
        <v>1</v>
      </c>
      <c r="M6" s="68">
        <v>5</v>
      </c>
      <c r="N6" s="68">
        <v>5</v>
      </c>
      <c r="O6" s="68">
        <v>0</v>
      </c>
      <c r="P6" s="68">
        <v>3</v>
      </c>
      <c r="Q6" s="68" t="e">
        <f ca="1">((R6*60)*K6*J6)/(Harjoitusalueet!$C$5*3600)*100</f>
        <v>#DIV/0!</v>
      </c>
      <c r="R6" s="66">
        <f>L6*M6*N6</f>
        <v>25</v>
      </c>
      <c r="S6" s="66">
        <f t="shared" ref="S6:S8" si="9">P6*(M6-1)+O6*(L6-1)</f>
        <v>12</v>
      </c>
      <c r="T6" s="110">
        <f t="shared" ref="T6:T8" si="10">I6-R6-S6</f>
        <v>33</v>
      </c>
      <c r="U6" s="68"/>
      <c r="V6" s="68">
        <v>110</v>
      </c>
      <c r="W6" s="76" t="e">
        <f ca="1">X6/Harjoitusalueet!$C$5</f>
        <v>#DIV/0!</v>
      </c>
      <c r="X6" s="66">
        <f ca="1">Harjoitusalueet!$D$62</f>
        <v>0</v>
      </c>
      <c r="Y6" s="68">
        <v>1</v>
      </c>
      <c r="Z6" s="68">
        <v>6</v>
      </c>
      <c r="AA6" s="68">
        <v>6</v>
      </c>
      <c r="AB6" s="68"/>
      <c r="AC6" s="68">
        <v>3</v>
      </c>
      <c r="AD6" s="68" t="e">
        <f ca="1">((AE6*60)*X6*W6)/(Harjoitusalueet!$C$5*3600)*100</f>
        <v>#DIV/0!</v>
      </c>
      <c r="AE6" s="66">
        <f>Y6*Z6*AA6</f>
        <v>36</v>
      </c>
      <c r="AF6" s="66">
        <f t="shared" ref="AF6:AF8" si="11">AC6*(Z6-1)+AB6*(Y6-1)</f>
        <v>15</v>
      </c>
      <c r="AG6" s="66">
        <f t="shared" ref="AG6:AG8" si="12">V6-AE6-AF6</f>
        <v>59</v>
      </c>
      <c r="AH6" s="68" t="s">
        <v>172</v>
      </c>
      <c r="AI6" s="68" t="s">
        <v>197</v>
      </c>
    </row>
    <row r="7" spans="1:35" x14ac:dyDescent="0.25">
      <c r="A7" s="67">
        <f t="shared" si="2"/>
        <v>44165</v>
      </c>
      <c r="B7" s="70">
        <f t="shared" si="8"/>
        <v>49</v>
      </c>
      <c r="C7" s="70" t="str">
        <f>VLOOKUP(Table16[[#This Row],[Jakso-koodi]],Jaksokoodit,2,FALSE)</f>
        <v>MK pitkä</v>
      </c>
      <c r="D7" s="70">
        <v>4</v>
      </c>
      <c r="E7" s="70" t="str">
        <f>VLOOKUP(Table16[[#This Row],[Viikko-koodi]],Viikkokoodit,2,TRUE)</f>
        <v>Kova 2</v>
      </c>
      <c r="F7" s="70">
        <v>2</v>
      </c>
      <c r="G7" s="71"/>
      <c r="H7" s="72" t="s">
        <v>154</v>
      </c>
      <c r="I7" s="73">
        <v>70</v>
      </c>
      <c r="J7" s="92" t="e">
        <f ca="1">K7/Harjoitusalueet!$C$5</f>
        <v>#DIV/0!</v>
      </c>
      <c r="K7" s="93">
        <f ca="1">Harjoitusalueet!$D$52</f>
        <v>0</v>
      </c>
      <c r="L7" s="72">
        <v>1</v>
      </c>
      <c r="M7" s="72">
        <v>5</v>
      </c>
      <c r="N7" s="72">
        <v>6</v>
      </c>
      <c r="O7" s="72">
        <v>0</v>
      </c>
      <c r="P7" s="72">
        <v>3</v>
      </c>
      <c r="Q7" s="72" t="e">
        <f ca="1">((R7*60)*K7*J7)/(Harjoitusalueet!$C$5*3600)*100</f>
        <v>#DIV/0!</v>
      </c>
      <c r="R7" s="94">
        <f t="shared" ref="R7:R8" si="13">L7*M7*N7</f>
        <v>30</v>
      </c>
      <c r="S7" s="94">
        <f t="shared" si="9"/>
        <v>12</v>
      </c>
      <c r="T7" s="113">
        <f t="shared" si="10"/>
        <v>28</v>
      </c>
      <c r="U7" s="72"/>
      <c r="V7" s="73">
        <v>110</v>
      </c>
      <c r="W7" s="92" t="e">
        <f ca="1">X7/Harjoitusalueet!$C$5</f>
        <v>#DIV/0!</v>
      </c>
      <c r="X7" s="94">
        <f ca="1">Harjoitusalueet!$D$62</f>
        <v>0</v>
      </c>
      <c r="Y7" s="72">
        <v>1</v>
      </c>
      <c r="Z7" s="72">
        <v>6</v>
      </c>
      <c r="AA7" s="72">
        <v>6</v>
      </c>
      <c r="AB7" s="72"/>
      <c r="AC7" s="72">
        <v>3</v>
      </c>
      <c r="AD7" s="72" t="e">
        <f ca="1">((AE7*60)*X7*W7)/(Harjoitusalueet!$C$5*3600)*100</f>
        <v>#DIV/0!</v>
      </c>
      <c r="AE7" s="94">
        <f t="shared" ref="AE7:AE8" si="14">Y7*Z7*AA7</f>
        <v>36</v>
      </c>
      <c r="AF7" s="94">
        <f t="shared" si="11"/>
        <v>15</v>
      </c>
      <c r="AG7" s="94">
        <f t="shared" si="12"/>
        <v>59</v>
      </c>
      <c r="AH7" s="72" t="s">
        <v>289</v>
      </c>
      <c r="AI7" s="68" t="s">
        <v>197</v>
      </c>
    </row>
    <row r="8" spans="1:35" x14ac:dyDescent="0.25">
      <c r="A8" s="65">
        <f t="shared" si="2"/>
        <v>44172</v>
      </c>
      <c r="B8" s="57">
        <f t="shared" si="0"/>
        <v>50</v>
      </c>
      <c r="C8" s="57" t="str">
        <f>VLOOKUP(Table16[[#This Row],[Jakso-koodi]],Jaksokoodit,2,FALSE)</f>
        <v>MK pitkä</v>
      </c>
      <c r="D8" s="57">
        <v>1</v>
      </c>
      <c r="E8" s="57" t="str">
        <f>VLOOKUP(Table16[[#This Row],[Viikko-koodi]],Viikkokoodit,2,TRUE)</f>
        <v>Kova 3</v>
      </c>
      <c r="F8" s="57">
        <v>0</v>
      </c>
      <c r="G8" s="61"/>
      <c r="H8" s="97" t="s">
        <v>155</v>
      </c>
      <c r="I8" s="98">
        <v>80</v>
      </c>
      <c r="J8" s="99" t="e">
        <f ca="1">K8/Harjoitusalueet!$C$5</f>
        <v>#DIV/0!</v>
      </c>
      <c r="K8" s="60">
        <f ca="1">Harjoitusalueet!$D$52</f>
        <v>0</v>
      </c>
      <c r="L8" s="97">
        <v>1</v>
      </c>
      <c r="M8" s="97">
        <v>6</v>
      </c>
      <c r="N8" s="97">
        <v>6</v>
      </c>
      <c r="O8" s="97">
        <v>0</v>
      </c>
      <c r="P8" s="97">
        <v>3</v>
      </c>
      <c r="Q8" s="68" t="e">
        <f ca="1">((R8*60)*K8*J8)/(Harjoitusalueet!$C$5*3600)*100</f>
        <v>#DIV/0!</v>
      </c>
      <c r="R8" s="66">
        <f t="shared" si="13"/>
        <v>36</v>
      </c>
      <c r="S8" s="66">
        <f t="shared" si="9"/>
        <v>15</v>
      </c>
      <c r="T8" s="110">
        <f t="shared" si="10"/>
        <v>29</v>
      </c>
      <c r="U8" s="66"/>
      <c r="V8" s="66"/>
      <c r="W8" s="75"/>
      <c r="X8" s="66">
        <f ca="1">W8*Harjoitusalueet!$C$5</f>
        <v>0</v>
      </c>
      <c r="Y8" s="66"/>
      <c r="Z8" s="66"/>
      <c r="AA8" s="66"/>
      <c r="AB8" s="66"/>
      <c r="AC8" s="66"/>
      <c r="AD8" s="68" t="e">
        <f ca="1">((AE8*60)*X8*W8)/(Harjoitusalueet!$C$5*3600)*100</f>
        <v>#DIV/0!</v>
      </c>
      <c r="AE8" s="66">
        <f t="shared" si="14"/>
        <v>0</v>
      </c>
      <c r="AF8" s="66">
        <f t="shared" si="11"/>
        <v>0</v>
      </c>
      <c r="AG8" s="66">
        <f t="shared" si="12"/>
        <v>0</v>
      </c>
      <c r="AH8" s="72" t="s">
        <v>289</v>
      </c>
      <c r="AI8" s="68" t="s">
        <v>197</v>
      </c>
    </row>
    <row r="9" spans="1:35" s="49" customFormat="1" ht="16.5" thickBot="1" x14ac:dyDescent="0.3">
      <c r="A9" s="84">
        <f t="shared" si="2"/>
        <v>44179</v>
      </c>
      <c r="B9" s="85">
        <f t="shared" si="0"/>
        <v>51</v>
      </c>
      <c r="C9" s="78" t="str">
        <f>VLOOKUP(Table16[[#This Row],[Jakso-koodi]],Jaksokoodit,2,FALSE)</f>
        <v>MK pitkä</v>
      </c>
      <c r="D9" s="78">
        <v>4</v>
      </c>
      <c r="E9" s="78" t="str">
        <f>VLOOKUP(Table16[[#This Row],[Viikko-koodi]],Viikkokoodit,2,TRUE)</f>
        <v>Kevyt</v>
      </c>
      <c r="F9" s="78">
        <v>1</v>
      </c>
      <c r="G9" s="79"/>
      <c r="H9" s="80" t="s">
        <v>61</v>
      </c>
      <c r="I9" s="80"/>
      <c r="J9" s="81" t="e">
        <f ca="1">K9/Harjoitusalueet!$C$5</f>
        <v>#DIV/0!</v>
      </c>
      <c r="K9" s="82"/>
      <c r="L9" s="80"/>
      <c r="M9" s="80"/>
      <c r="N9" s="80"/>
      <c r="O9" s="80"/>
      <c r="P9" s="80"/>
      <c r="Q9" s="83" t="e">
        <f ca="1">((R9*60)*K9*J9)/(Harjoitusalueet!$C$5*3600)*100</f>
        <v>#DIV/0!</v>
      </c>
      <c r="R9" s="80">
        <f t="shared" ref="R9:R11" si="15">L9*M9*N9</f>
        <v>0</v>
      </c>
      <c r="S9" s="80">
        <f t="shared" ref="S9:S11" si="16">P9*(M9-1)+O9*(L9-1)</f>
        <v>0</v>
      </c>
      <c r="T9" s="112">
        <f t="shared" ref="T9:T11" si="17">I9-R9-S9</f>
        <v>0</v>
      </c>
      <c r="U9" s="80"/>
      <c r="V9" s="80">
        <v>100</v>
      </c>
      <c r="W9" s="81" t="e">
        <f ca="1">X9/Harjoitusalueet!$C$5</f>
        <v>#DIV/0!</v>
      </c>
      <c r="X9" s="80">
        <f ca="1">Harjoitusalueet!$D$62</f>
        <v>0</v>
      </c>
      <c r="Y9" s="80">
        <v>1</v>
      </c>
      <c r="Z9" s="80">
        <v>6</v>
      </c>
      <c r="AA9" s="80">
        <v>5</v>
      </c>
      <c r="AB9" s="80"/>
      <c r="AC9" s="80">
        <v>3</v>
      </c>
      <c r="AD9" s="83" t="e">
        <f ca="1">((AE9*60)*X9*W9)/(Harjoitusalueet!$C$5*3600)*100</f>
        <v>#DIV/0!</v>
      </c>
      <c r="AE9" s="80">
        <f t="shared" ref="AE9:AE11" si="18">Y9*Z9*AA9</f>
        <v>30</v>
      </c>
      <c r="AF9" s="80">
        <f t="shared" ref="AF9:AF11" si="19">AC9*(Z9-1)+AB9*(Y9-1)</f>
        <v>15</v>
      </c>
      <c r="AG9" s="80">
        <f t="shared" ref="AG9:AG11" si="20">V9-AE9-AF9</f>
        <v>55</v>
      </c>
      <c r="AH9" s="80"/>
      <c r="AI9" s="80"/>
    </row>
    <row r="10" spans="1:35" x14ac:dyDescent="0.25">
      <c r="A10" s="77">
        <f t="shared" si="2"/>
        <v>44186</v>
      </c>
      <c r="B10" s="78">
        <f t="shared" si="0"/>
        <v>52</v>
      </c>
      <c r="C10" s="78" t="str">
        <f>VLOOKUP(Table16[[#This Row],[Jakso-koodi]],Jaksokoodit,2,FALSE)</f>
        <v>MK pitkä</v>
      </c>
      <c r="D10" s="78">
        <v>4</v>
      </c>
      <c r="E10" s="78" t="str">
        <f>VLOOKUP(Table16[[#This Row],[Viikko-koodi]],Viikkokoodit,2,TRUE)</f>
        <v>Kova 1</v>
      </c>
      <c r="F10" s="78">
        <v>2</v>
      </c>
      <c r="G10" s="79" t="s">
        <v>93</v>
      </c>
      <c r="H10" s="79" t="s">
        <v>93</v>
      </c>
      <c r="I10" s="73">
        <v>70</v>
      </c>
      <c r="J10" s="92" t="e">
        <f ca="1">K10/Harjoitusalueet!$C$5</f>
        <v>#DIV/0!</v>
      </c>
      <c r="K10" s="93">
        <f ca="1">Harjoitusalueet!D42</f>
        <v>0</v>
      </c>
      <c r="L10" s="72">
        <v>1</v>
      </c>
      <c r="M10" s="72">
        <v>5</v>
      </c>
      <c r="N10" s="72">
        <v>6</v>
      </c>
      <c r="O10" s="72">
        <v>0</v>
      </c>
      <c r="P10" s="72">
        <v>3</v>
      </c>
      <c r="Q10" s="72" t="e">
        <f ca="1">((R10*60)*K10*J10)/(Harjoitusalueet!$C$5*3600)*100</f>
        <v>#DIV/0!</v>
      </c>
      <c r="R10" s="94">
        <f t="shared" si="15"/>
        <v>30</v>
      </c>
      <c r="S10" s="94">
        <f t="shared" si="16"/>
        <v>12</v>
      </c>
      <c r="T10" s="113">
        <f t="shared" si="17"/>
        <v>28</v>
      </c>
      <c r="U10" s="72"/>
      <c r="V10" s="73">
        <v>110</v>
      </c>
      <c r="W10" s="92" t="e">
        <f ca="1">X10/Harjoitusalueet!$C$5</f>
        <v>#DIV/0!</v>
      </c>
      <c r="X10" s="94">
        <f ca="1">Harjoitusalueet!$D$62</f>
        <v>0</v>
      </c>
      <c r="Y10" s="72">
        <v>1</v>
      </c>
      <c r="Z10" s="72">
        <v>6</v>
      </c>
      <c r="AA10" s="72">
        <v>6</v>
      </c>
      <c r="AB10" s="72"/>
      <c r="AC10" s="72">
        <v>3</v>
      </c>
      <c r="AD10" s="72" t="e">
        <f ca="1">((AE10*60)*X10*W10)/(Harjoitusalueet!$C$5*3600)*100</f>
        <v>#DIV/0!</v>
      </c>
      <c r="AE10" s="94">
        <f t="shared" si="18"/>
        <v>36</v>
      </c>
      <c r="AF10" s="94">
        <f t="shared" si="19"/>
        <v>15</v>
      </c>
      <c r="AG10" s="94">
        <f t="shared" si="20"/>
        <v>59</v>
      </c>
      <c r="AH10" s="80" t="s">
        <v>279</v>
      </c>
      <c r="AI10" s="80" t="s">
        <v>196</v>
      </c>
    </row>
    <row r="11" spans="1:35" x14ac:dyDescent="0.25">
      <c r="A11" s="67">
        <f t="shared" si="2"/>
        <v>44193</v>
      </c>
      <c r="B11" s="58">
        <f t="shared" si="0"/>
        <v>53</v>
      </c>
      <c r="C11" s="58" t="str">
        <f>VLOOKUP(Table16[[#This Row],[Jakso-koodi]],Jaksokoodit,2,FALSE)</f>
        <v>MK pitkä</v>
      </c>
      <c r="D11" s="58">
        <v>4</v>
      </c>
      <c r="E11" s="58" t="str">
        <f>VLOOKUP(Table16[[#This Row],[Viikko-koodi]],Viikkokoodit,2,TRUE)</f>
        <v>Kova 2</v>
      </c>
      <c r="F11" s="58">
        <v>3</v>
      </c>
      <c r="G11" s="96"/>
      <c r="H11" s="97" t="s">
        <v>154</v>
      </c>
      <c r="I11" s="98">
        <v>80</v>
      </c>
      <c r="J11" s="99" t="e">
        <f ca="1">K11/Harjoitusalueet!$C$5</f>
        <v>#DIV/0!</v>
      </c>
      <c r="K11" s="60">
        <f ca="1">Harjoitusalueet!$D$52</f>
        <v>0</v>
      </c>
      <c r="L11" s="97">
        <v>1</v>
      </c>
      <c r="M11" s="97">
        <v>6</v>
      </c>
      <c r="N11" s="97">
        <v>6</v>
      </c>
      <c r="O11" s="97">
        <v>0</v>
      </c>
      <c r="P11" s="97">
        <v>3</v>
      </c>
      <c r="Q11" s="100" t="e">
        <f ca="1">((R11*60)*K11*J11)/(Harjoitusalueet!$C$5*3600)*100</f>
        <v>#DIV/0!</v>
      </c>
      <c r="R11" s="97">
        <f t="shared" si="15"/>
        <v>36</v>
      </c>
      <c r="S11" s="97">
        <f t="shared" si="16"/>
        <v>15</v>
      </c>
      <c r="T11" s="114">
        <f t="shared" si="17"/>
        <v>29</v>
      </c>
      <c r="U11" s="97"/>
      <c r="V11" s="98">
        <v>120</v>
      </c>
      <c r="W11" s="99" t="e">
        <f ca="1">X11/Harjoitusalueet!$C$5</f>
        <v>#DIV/0!</v>
      </c>
      <c r="X11" s="97">
        <f ca="1">Harjoitusalueet!$D$62</f>
        <v>0</v>
      </c>
      <c r="Y11" s="97">
        <v>1</v>
      </c>
      <c r="Z11" s="97">
        <v>6</v>
      </c>
      <c r="AA11" s="97">
        <v>7</v>
      </c>
      <c r="AB11" s="97"/>
      <c r="AC11" s="97">
        <v>3</v>
      </c>
      <c r="AD11" s="100" t="e">
        <f ca="1">((AE11*60)*X11*W11)/(Harjoitusalueet!$C$5*3600)*100</f>
        <v>#DIV/0!</v>
      </c>
      <c r="AE11" s="97">
        <f t="shared" si="18"/>
        <v>42</v>
      </c>
      <c r="AF11" s="97">
        <f t="shared" si="19"/>
        <v>15</v>
      </c>
      <c r="AG11" s="97">
        <f t="shared" si="20"/>
        <v>63</v>
      </c>
      <c r="AH11" s="80" t="s">
        <v>280</v>
      </c>
      <c r="AI11" s="80" t="s">
        <v>196</v>
      </c>
    </row>
    <row r="12" spans="1:35" x14ac:dyDescent="0.25">
      <c r="A12" s="65">
        <f t="shared" si="2"/>
        <v>44200</v>
      </c>
      <c r="B12" s="57">
        <f t="shared" si="0"/>
        <v>1</v>
      </c>
      <c r="C12" s="57" t="str">
        <f>VLOOKUP(Table16[[#This Row],[Jakso-koodi]],Jaksokoodit,2,FALSE)</f>
        <v>MK pitkä</v>
      </c>
      <c r="D12" s="57">
        <v>4</v>
      </c>
      <c r="E12" s="57" t="str">
        <f>VLOOKUP(Table16[[#This Row],[Viikko-koodi]],Viikkokoodit,2,TRUE)</f>
        <v>Kova 3</v>
      </c>
      <c r="F12" s="57">
        <v>0</v>
      </c>
      <c r="G12" s="61"/>
      <c r="H12" s="97" t="s">
        <v>155</v>
      </c>
      <c r="I12" s="98">
        <v>80</v>
      </c>
      <c r="J12" s="99" t="e">
        <f ca="1">K12/Harjoitusalueet!$C$5</f>
        <v>#DIV/0!</v>
      </c>
      <c r="K12" s="60">
        <f ca="1">Harjoitusalueet!$D$52</f>
        <v>0</v>
      </c>
      <c r="L12" s="97">
        <v>1</v>
      </c>
      <c r="M12" s="97">
        <v>6</v>
      </c>
      <c r="N12" s="97">
        <v>6</v>
      </c>
      <c r="O12" s="97">
        <v>0</v>
      </c>
      <c r="P12" s="97">
        <v>3</v>
      </c>
      <c r="Q12" s="68" t="e">
        <f ca="1">((R12*60)*K12*J12)/(Harjoitusalueet!$C$5*3600)*100</f>
        <v>#DIV/0!</v>
      </c>
      <c r="R12" s="66">
        <f t="shared" ref="R12:R29" si="21">L12*M12*N12</f>
        <v>36</v>
      </c>
      <c r="S12" s="66">
        <f t="shared" si="6"/>
        <v>15</v>
      </c>
      <c r="T12" s="110">
        <f t="shared" si="3"/>
        <v>29</v>
      </c>
      <c r="U12" s="66"/>
      <c r="V12" s="66"/>
      <c r="W12" s="75"/>
      <c r="X12" s="66">
        <f ca="1">W12*Harjoitusalueet!$C$5</f>
        <v>0</v>
      </c>
      <c r="Y12" s="66"/>
      <c r="Z12" s="66"/>
      <c r="AA12" s="66"/>
      <c r="AB12" s="66"/>
      <c r="AC12" s="66"/>
      <c r="AD12" s="68" t="e">
        <f ca="1">((AE12*60)*X12*W12)/(Harjoitusalueet!$C$5*3600)*100</f>
        <v>#DIV/0!</v>
      </c>
      <c r="AE12" s="66">
        <f t="shared" ref="AE12:AE29" si="22">Y12*Z12*AA12</f>
        <v>0</v>
      </c>
      <c r="AF12" s="66">
        <f t="shared" si="7"/>
        <v>0</v>
      </c>
      <c r="AG12" s="66">
        <f t="shared" si="5"/>
        <v>0</v>
      </c>
      <c r="AH12" s="97" t="s">
        <v>173</v>
      </c>
      <c r="AI12" s="72" t="s">
        <v>198</v>
      </c>
    </row>
    <row r="13" spans="1:35" x14ac:dyDescent="0.25">
      <c r="A13" s="91">
        <f t="shared" si="2"/>
        <v>44207</v>
      </c>
      <c r="B13" s="70">
        <f t="shared" si="0"/>
        <v>2</v>
      </c>
      <c r="C13" s="70" t="str">
        <f>VLOOKUP(Table16[[#This Row],[Jakso-koodi]],Jaksokoodit,2,FALSE)</f>
        <v>MK pitkä</v>
      </c>
      <c r="D13" s="70">
        <v>4</v>
      </c>
      <c r="E13" s="70" t="str">
        <f>VLOOKUP(Table16[[#This Row],[Viikko-koodi]],Viikkokoodit,2,TRUE)</f>
        <v>Kevyt</v>
      </c>
      <c r="F13" s="70">
        <v>1</v>
      </c>
      <c r="G13" s="79"/>
      <c r="H13" s="80" t="s">
        <v>61</v>
      </c>
      <c r="I13" s="82"/>
      <c r="J13" s="81"/>
      <c r="K13" s="82"/>
      <c r="L13" s="80"/>
      <c r="M13" s="80"/>
      <c r="N13" s="80"/>
      <c r="O13" s="80"/>
      <c r="P13" s="80"/>
      <c r="Q13" s="83" t="e">
        <f ca="1">((R13*60)*K13*J13)/(Harjoitusalueet!$C$5*3600)*100</f>
        <v>#DIV/0!</v>
      </c>
      <c r="R13" s="80">
        <f t="shared" ref="R13:R14" si="23">L13*M13*N13</f>
        <v>0</v>
      </c>
      <c r="S13" s="80">
        <f t="shared" ref="S13:S14" si="24">P13*(M13-1)+O13*(L13-1)</f>
        <v>0</v>
      </c>
      <c r="T13" s="112">
        <f t="shared" ref="T13:T14" si="25">I13-R13-S13</f>
        <v>0</v>
      </c>
      <c r="U13" s="80" t="s">
        <v>143</v>
      </c>
      <c r="V13" s="82">
        <v>110</v>
      </c>
      <c r="W13" s="75" t="e">
        <f ca="1">X13/Harjoitusalueet!$C$5</f>
        <v>#DIV/0!</v>
      </c>
      <c r="X13" s="66" t="e">
        <f ca="1">Harjoitusalueet!$M$11</f>
        <v>#DIV/0!</v>
      </c>
      <c r="Y13" s="80">
        <v>4</v>
      </c>
      <c r="Z13" s="80">
        <v>10</v>
      </c>
      <c r="AA13" s="116">
        <v>0.5</v>
      </c>
      <c r="AB13" s="80">
        <v>5</v>
      </c>
      <c r="AC13" s="116">
        <v>0.5</v>
      </c>
      <c r="AD13" s="83" t="e">
        <f ca="1">((AE13*60)*X13*W13)/(Harjoitusalueet!$C$5*3600)*100</f>
        <v>#DIV/0!</v>
      </c>
      <c r="AE13" s="80">
        <f t="shared" ref="AE13:AE14" si="26">Y13*Z13*AA13</f>
        <v>20</v>
      </c>
      <c r="AF13" s="80">
        <f t="shared" ref="AF13:AF14" si="27">AC13*(Z13-1)+AB13*(Y13-1)</f>
        <v>19.5</v>
      </c>
      <c r="AG13" s="80">
        <f t="shared" ref="AG13:AG14" si="28">V13-AE13-AF13</f>
        <v>70.5</v>
      </c>
      <c r="AH13" s="80"/>
      <c r="AI13" s="80" t="s">
        <v>199</v>
      </c>
    </row>
    <row r="14" spans="1:35" s="101" customFormat="1" ht="15.75" customHeight="1" x14ac:dyDescent="0.25">
      <c r="A14" s="95">
        <f t="shared" si="2"/>
        <v>44214</v>
      </c>
      <c r="B14" s="96">
        <f t="shared" si="0"/>
        <v>3</v>
      </c>
      <c r="C14" s="96" t="str">
        <f>VLOOKUP(Table16[[#This Row],[Jakso-koodi]],Jaksokoodit,2,FALSE)</f>
        <v>MK lyhyt</v>
      </c>
      <c r="D14" s="96">
        <v>4</v>
      </c>
      <c r="E14" s="96" t="str">
        <f>VLOOKUP(Table16[[#This Row],[Viikko-koodi]],Viikkokoodit,2,TRUE)</f>
        <v>Kova 1</v>
      </c>
      <c r="F14" s="96">
        <v>2</v>
      </c>
      <c r="G14" s="61" t="s">
        <v>94</v>
      </c>
      <c r="H14" s="68" t="s">
        <v>275</v>
      </c>
      <c r="I14" s="59">
        <v>70</v>
      </c>
      <c r="J14" s="75" t="e">
        <f ca="1">K14/Harjoitusalueet!$C$5</f>
        <v>#DIV/0!</v>
      </c>
      <c r="K14" s="66">
        <f ca="1">Harjoitusalueet!D27</f>
        <v>0</v>
      </c>
      <c r="L14" s="66">
        <v>1</v>
      </c>
      <c r="M14" s="66">
        <v>1</v>
      </c>
      <c r="N14" s="66">
        <v>5</v>
      </c>
      <c r="O14" s="66"/>
      <c r="P14" s="66"/>
      <c r="Q14" s="68" t="e">
        <f ca="1">((R14*60)*K14*J14)/(Harjoitusalueet!$C$5*3600)*100</f>
        <v>#DIV/0!</v>
      </c>
      <c r="R14" s="66">
        <f t="shared" si="23"/>
        <v>5</v>
      </c>
      <c r="S14" s="66">
        <f t="shared" si="24"/>
        <v>0</v>
      </c>
      <c r="T14" s="110">
        <f t="shared" si="25"/>
        <v>65</v>
      </c>
      <c r="U14" s="68" t="s">
        <v>144</v>
      </c>
      <c r="V14" s="59">
        <v>100</v>
      </c>
      <c r="W14" s="76" t="e">
        <f ca="1">X14/Harjoitusalueet!$C$5</f>
        <v>#DIV/0!</v>
      </c>
      <c r="X14" s="66" t="e">
        <f ca="1">Harjoitusalueet!$M$11</f>
        <v>#DIV/0!</v>
      </c>
      <c r="Y14" s="68">
        <v>6</v>
      </c>
      <c r="Z14" s="68">
        <v>10</v>
      </c>
      <c r="AA14" s="117">
        <v>0.5</v>
      </c>
      <c r="AB14" s="68">
        <v>5</v>
      </c>
      <c r="AC14" s="117">
        <v>0.5</v>
      </c>
      <c r="AD14" s="68" t="e">
        <f ca="1">((AE14*60)*X14*W14)/(Harjoitusalueet!$C$5*3600)*100</f>
        <v>#DIV/0!</v>
      </c>
      <c r="AE14" s="66">
        <f t="shared" si="26"/>
        <v>30</v>
      </c>
      <c r="AF14" s="66">
        <f t="shared" si="27"/>
        <v>29.5</v>
      </c>
      <c r="AG14" s="66">
        <f t="shared" si="28"/>
        <v>40.5</v>
      </c>
      <c r="AH14" s="68" t="s">
        <v>269</v>
      </c>
      <c r="AI14" s="80"/>
    </row>
    <row r="15" spans="1:35" s="49" customFormat="1" ht="16.5" customHeight="1" thickBot="1" x14ac:dyDescent="0.3">
      <c r="A15" s="102">
        <f t="shared" si="2"/>
        <v>44221</v>
      </c>
      <c r="B15" s="103">
        <f t="shared" si="0"/>
        <v>4</v>
      </c>
      <c r="C15" s="103" t="str">
        <f>VLOOKUP(Table16[[#This Row],[Jakso-koodi]],Jaksokoodit,2,FALSE)</f>
        <v>MK lyhyt</v>
      </c>
      <c r="D15" s="103">
        <v>4</v>
      </c>
      <c r="E15" s="103" t="str">
        <f>VLOOKUP(Table16[[#This Row],[Viikko-koodi]],Viikkokoodit,2,TRUE)</f>
        <v>Kova 2</v>
      </c>
      <c r="F15" s="103">
        <v>0</v>
      </c>
      <c r="G15" s="104"/>
      <c r="H15" s="105" t="s">
        <v>281</v>
      </c>
      <c r="I15" s="105"/>
      <c r="J15" s="106"/>
      <c r="K15" s="107" t="e">
        <f ca="1">Harjoitusalueet!M11</f>
        <v>#DIV/0!</v>
      </c>
      <c r="L15" s="105">
        <v>3</v>
      </c>
      <c r="M15" s="105">
        <v>10</v>
      </c>
      <c r="N15" s="105">
        <v>0.66669999999999996</v>
      </c>
      <c r="O15" s="105">
        <v>3</v>
      </c>
      <c r="P15" s="105">
        <v>0.33300000000000002</v>
      </c>
      <c r="Q15" s="105" t="e">
        <f ca="1">((R15*60)*K15*J15)/(Harjoitusalueet!$C$5*3600)*100</f>
        <v>#DIV/0!</v>
      </c>
      <c r="R15" s="108">
        <f t="shared" si="21"/>
        <v>20.000999999999998</v>
      </c>
      <c r="S15" s="108">
        <f t="shared" si="6"/>
        <v>8.9969999999999999</v>
      </c>
      <c r="T15" s="115">
        <f t="shared" si="3"/>
        <v>-28.997999999999998</v>
      </c>
      <c r="U15" s="105"/>
      <c r="V15" s="105"/>
      <c r="W15" s="106"/>
      <c r="X15" s="108">
        <f ca="1">W15*Harjoitusalueet!$C$5</f>
        <v>0</v>
      </c>
      <c r="Y15" s="105"/>
      <c r="Z15" s="105"/>
      <c r="AA15" s="105"/>
      <c r="AB15" s="105"/>
      <c r="AC15" s="105"/>
      <c r="AD15" s="105" t="e">
        <f ca="1">((AE15*60)*X15*W15)/(Harjoitusalueet!$C$5*3600)*100</f>
        <v>#DIV/0!</v>
      </c>
      <c r="AE15" s="108">
        <f t="shared" si="22"/>
        <v>0</v>
      </c>
      <c r="AF15" s="108">
        <f t="shared" si="7"/>
        <v>0</v>
      </c>
      <c r="AG15" s="108">
        <f t="shared" si="5"/>
        <v>0</v>
      </c>
      <c r="AH15" s="105" t="s">
        <v>290</v>
      </c>
      <c r="AI15" s="80" t="s">
        <v>291</v>
      </c>
    </row>
    <row r="16" spans="1:35" ht="16.5" customHeight="1" x14ac:dyDescent="0.25">
      <c r="A16" s="77">
        <f t="shared" si="2"/>
        <v>44228</v>
      </c>
      <c r="B16" s="78">
        <f t="shared" si="0"/>
        <v>5</v>
      </c>
      <c r="C16" s="78" t="str">
        <f>VLOOKUP(Table16[[#This Row],[Jakso-koodi]],Jaksokoodit,2,FALSE)</f>
        <v>MK lyhyt</v>
      </c>
      <c r="D16" s="78">
        <v>5</v>
      </c>
      <c r="E16" s="78" t="str">
        <f>VLOOKUP(Table16[[#This Row],[Viikko-koodi]],Viikkokoodit,2,TRUE)</f>
        <v>Kova 1</v>
      </c>
      <c r="F16" s="78">
        <v>1</v>
      </c>
      <c r="G16" s="61" t="s">
        <v>15</v>
      </c>
      <c r="H16" s="68" t="s">
        <v>15</v>
      </c>
      <c r="I16" s="59">
        <v>70</v>
      </c>
      <c r="J16" s="75" t="e">
        <f ca="1">K16/Harjoitusalueet!$C$5</f>
        <v>#DIV/0!</v>
      </c>
      <c r="K16" s="66" t="e">
        <f ca="1">Harjoitusalueet!M11</f>
        <v>#DIV/0!</v>
      </c>
      <c r="L16" s="66">
        <v>3</v>
      </c>
      <c r="M16" s="66">
        <v>10</v>
      </c>
      <c r="N16" s="66">
        <v>0.7</v>
      </c>
      <c r="O16" s="66">
        <v>5</v>
      </c>
      <c r="P16" s="66">
        <v>0.3</v>
      </c>
      <c r="Q16" s="68" t="e">
        <f ca="1">((R16*60)*K16*J16)/(Harjoitusalueet!$C$5*3600)*100</f>
        <v>#DIV/0!</v>
      </c>
      <c r="R16" s="66">
        <f t="shared" si="21"/>
        <v>21</v>
      </c>
      <c r="S16" s="66">
        <f t="shared" si="6"/>
        <v>12.7</v>
      </c>
      <c r="T16" s="110">
        <f t="shared" si="3"/>
        <v>36.299999999999997</v>
      </c>
      <c r="U16" s="68" t="s">
        <v>144</v>
      </c>
      <c r="V16" s="59">
        <v>100</v>
      </c>
      <c r="W16" s="76" t="e">
        <f ca="1">X16/Harjoitusalueet!$C$5</f>
        <v>#DIV/0!</v>
      </c>
      <c r="X16" s="66" t="e">
        <f ca="1">Harjoitusalueet!$M$11</f>
        <v>#DIV/0!</v>
      </c>
      <c r="Y16" s="68">
        <v>6</v>
      </c>
      <c r="Z16" s="68">
        <v>10</v>
      </c>
      <c r="AA16" s="117">
        <v>0.5</v>
      </c>
      <c r="AB16" s="68">
        <v>5</v>
      </c>
      <c r="AC16" s="117">
        <v>0.5</v>
      </c>
      <c r="AD16" s="68" t="e">
        <f ca="1">((AE16*60)*X16*W16)/(Harjoitusalueet!$C$5*3600)*100</f>
        <v>#DIV/0!</v>
      </c>
      <c r="AE16" s="66">
        <f t="shared" si="22"/>
        <v>30</v>
      </c>
      <c r="AF16" s="66">
        <f t="shared" si="7"/>
        <v>29.5</v>
      </c>
      <c r="AG16" s="66">
        <f t="shared" si="5"/>
        <v>40.5</v>
      </c>
      <c r="AH16" s="68" t="s">
        <v>271</v>
      </c>
      <c r="AI16" s="80"/>
    </row>
    <row r="17" spans="1:35" x14ac:dyDescent="0.25">
      <c r="A17" s="67">
        <f t="shared" si="2"/>
        <v>44235</v>
      </c>
      <c r="B17" s="58">
        <f t="shared" si="0"/>
        <v>6</v>
      </c>
      <c r="C17" s="58" t="str">
        <f>VLOOKUP(Table16[[#This Row],[Jakso-koodi]],Jaksokoodit,2,FALSE)</f>
        <v>Anaerobinen kynnys</v>
      </c>
      <c r="D17" s="58">
        <v>5</v>
      </c>
      <c r="E17" s="58" t="str">
        <f>VLOOKUP(Table16[[#This Row],[Viikko-koodi]],Viikkokoodit,2,TRUE)</f>
        <v>Kova 1</v>
      </c>
      <c r="F17" s="58">
        <v>0</v>
      </c>
      <c r="G17" s="61"/>
      <c r="H17" s="80" t="s">
        <v>248</v>
      </c>
      <c r="I17" s="80">
        <v>70</v>
      </c>
      <c r="J17" s="81" t="e">
        <f ca="1">K17/Harjoitusalueet!$C$5</f>
        <v>#DIV/0!</v>
      </c>
      <c r="K17" s="82">
        <f ca="1">Harjoitusalueet!$C$5*1.02</f>
        <v>0</v>
      </c>
      <c r="L17" s="80">
        <v>1</v>
      </c>
      <c r="M17" s="80">
        <v>10</v>
      </c>
      <c r="N17" s="80">
        <v>4</v>
      </c>
      <c r="O17" s="80"/>
      <c r="P17" s="80">
        <v>2</v>
      </c>
      <c r="Q17" s="68" t="e">
        <f ca="1">((R17*60)*K17*J17)/(Harjoitusalueet!$C$5*3600)*100</f>
        <v>#DIV/0!</v>
      </c>
      <c r="R17" s="66">
        <f t="shared" si="21"/>
        <v>40</v>
      </c>
      <c r="S17" s="66">
        <f t="shared" si="6"/>
        <v>18</v>
      </c>
      <c r="T17" s="110">
        <f t="shared" si="3"/>
        <v>12</v>
      </c>
      <c r="U17" s="68" t="s">
        <v>144</v>
      </c>
      <c r="V17" s="59">
        <v>100</v>
      </c>
      <c r="W17" s="76" t="e">
        <f ca="1">X17/Harjoitusalueet!$C$5</f>
        <v>#DIV/0!</v>
      </c>
      <c r="X17" s="66" t="e">
        <f ca="1">Harjoitusalueet!$M$11</f>
        <v>#DIV/0!</v>
      </c>
      <c r="Y17" s="68">
        <v>6</v>
      </c>
      <c r="Z17" s="68">
        <v>10</v>
      </c>
      <c r="AA17" s="117">
        <v>0.5</v>
      </c>
      <c r="AB17" s="68">
        <v>5</v>
      </c>
      <c r="AC17" s="117">
        <v>0.5</v>
      </c>
      <c r="AD17" s="68" t="e">
        <f ca="1">((AE17*60)*X17*W17)/(Harjoitusalueet!$C$5*3600)*100</f>
        <v>#DIV/0!</v>
      </c>
      <c r="AE17" s="66">
        <f t="shared" si="22"/>
        <v>30</v>
      </c>
      <c r="AF17" s="66">
        <f t="shared" si="7"/>
        <v>29.5</v>
      </c>
      <c r="AG17" s="66">
        <f t="shared" si="5"/>
        <v>40.5</v>
      </c>
      <c r="AH17" s="80" t="s">
        <v>175</v>
      </c>
      <c r="AI17" s="80" t="s">
        <v>200</v>
      </c>
    </row>
    <row r="18" spans="1:35" x14ac:dyDescent="0.25">
      <c r="A18" s="65">
        <f t="shared" si="2"/>
        <v>44242</v>
      </c>
      <c r="B18" s="57">
        <f t="shared" si="0"/>
        <v>7</v>
      </c>
      <c r="C18" s="57" t="str">
        <f>VLOOKUP(Table16[[#This Row],[Jakso-koodi]],Jaksokoodit,2,FALSE)</f>
        <v>Anaerobinen kynnys</v>
      </c>
      <c r="D18" s="57">
        <v>5</v>
      </c>
      <c r="E18" s="57" t="str">
        <f>VLOOKUP(Table16[[#This Row],[Viikko-koodi]],Viikkokoodit,2,TRUE)</f>
        <v>Kova 2</v>
      </c>
      <c r="F18" s="57">
        <v>1</v>
      </c>
      <c r="G18" s="61"/>
      <c r="H18" s="68" t="s">
        <v>249</v>
      </c>
      <c r="I18" s="68">
        <v>70</v>
      </c>
      <c r="J18" s="76" t="e">
        <f ca="1">K18/Harjoitusalueet!$C$5</f>
        <v>#DIV/0!</v>
      </c>
      <c r="K18" s="82">
        <f ca="1">Harjoitusalueet!$C$5*1.02</f>
        <v>0</v>
      </c>
      <c r="L18" s="68">
        <v>1</v>
      </c>
      <c r="M18" s="68">
        <v>10</v>
      </c>
      <c r="N18" s="68">
        <v>5</v>
      </c>
      <c r="O18" s="68"/>
      <c r="P18" s="68">
        <v>2</v>
      </c>
      <c r="Q18" s="83" t="e">
        <f ca="1">((R18*60)*K18*J18)/(Harjoitusalueet!$C$5*3600)*100</f>
        <v>#DIV/0!</v>
      </c>
      <c r="R18" s="80">
        <f t="shared" ref="R18:R20" si="29">L18*M18*N18</f>
        <v>50</v>
      </c>
      <c r="S18" s="80">
        <f t="shared" ref="S18:S20" si="30">P18*(M18-1)+O18*(L18-1)</f>
        <v>18</v>
      </c>
      <c r="T18" s="112">
        <f t="shared" ref="T18:T20" si="31">I18-R18-S18</f>
        <v>2</v>
      </c>
      <c r="U18" s="80" t="s">
        <v>145</v>
      </c>
      <c r="V18" s="80">
        <v>100</v>
      </c>
      <c r="W18" s="81"/>
      <c r="X18" s="80">
        <f ca="1">Harjoitusalueet!$C$5</f>
        <v>0</v>
      </c>
      <c r="Y18" s="80">
        <v>1</v>
      </c>
      <c r="Z18" s="80">
        <v>3</v>
      </c>
      <c r="AA18" s="80">
        <v>15</v>
      </c>
      <c r="AB18" s="80">
        <v>0</v>
      </c>
      <c r="AC18" s="80">
        <v>5</v>
      </c>
      <c r="AD18" s="83" t="e">
        <f ca="1">((AE18*60)*X18*W18)/(Harjoitusalueet!$C$5*3600)*100</f>
        <v>#DIV/0!</v>
      </c>
      <c r="AE18" s="80">
        <f t="shared" ref="AE18:AE20" si="32">Y18*Z18*AA18</f>
        <v>45</v>
      </c>
      <c r="AF18" s="80">
        <f t="shared" ref="AF18:AF20" si="33">AC18*(Z18-1)+AB18*(Y18-1)</f>
        <v>10</v>
      </c>
      <c r="AG18" s="80">
        <f t="shared" ref="AG18:AG20" si="34">V18-AE18-AF18</f>
        <v>45</v>
      </c>
      <c r="AH18" s="68" t="s">
        <v>272</v>
      </c>
      <c r="AI18" s="68" t="s">
        <v>193</v>
      </c>
    </row>
    <row r="19" spans="1:35" s="49" customFormat="1" ht="16.5" thickBot="1" x14ac:dyDescent="0.3">
      <c r="A19" s="84">
        <f t="shared" si="2"/>
        <v>44249</v>
      </c>
      <c r="B19" s="85">
        <f t="shared" si="0"/>
        <v>8</v>
      </c>
      <c r="C19" s="85" t="str">
        <f>VLOOKUP(Table16[[#This Row],[Jakso-koodi]],Jaksokoodit,2,FALSE)</f>
        <v>Anaerobinen kynnys</v>
      </c>
      <c r="D19" s="85">
        <v>5</v>
      </c>
      <c r="E19" s="85" t="str">
        <f>VLOOKUP(Table16[[#This Row],[Viikko-koodi]],Viikkokoodit,2,TRUE)</f>
        <v>Kevyt</v>
      </c>
      <c r="F19" s="85">
        <v>2</v>
      </c>
      <c r="G19" s="86"/>
      <c r="H19" s="105" t="s">
        <v>61</v>
      </c>
      <c r="I19" s="105"/>
      <c r="J19" s="106"/>
      <c r="K19" s="107">
        <f ca="1">J19*Harjoitusalueet!$C$5</f>
        <v>0</v>
      </c>
      <c r="L19" s="105"/>
      <c r="M19" s="105"/>
      <c r="N19" s="105"/>
      <c r="O19" s="105"/>
      <c r="P19" s="105"/>
      <c r="Q19" s="68" t="e">
        <f ca="1">((R19*60)*K19*J19)/(Harjoitusalueet!$C$5*3600)*100</f>
        <v>#DIV/0!</v>
      </c>
      <c r="R19" s="66">
        <f t="shared" si="29"/>
        <v>0</v>
      </c>
      <c r="S19" s="66">
        <f t="shared" si="30"/>
        <v>0</v>
      </c>
      <c r="T19" s="110">
        <f t="shared" si="31"/>
        <v>0</v>
      </c>
      <c r="U19" s="68" t="s">
        <v>146</v>
      </c>
      <c r="V19" s="68">
        <v>110</v>
      </c>
      <c r="W19" s="76"/>
      <c r="X19" s="66">
        <f ca="1">W19*Harjoitusalueet!$C$5</f>
        <v>0</v>
      </c>
      <c r="Y19" s="68">
        <v>1</v>
      </c>
      <c r="Z19" s="68">
        <v>6</v>
      </c>
      <c r="AA19" s="68">
        <v>10</v>
      </c>
      <c r="AB19" s="68">
        <v>0</v>
      </c>
      <c r="AC19" s="68">
        <v>3</v>
      </c>
      <c r="AD19" s="68" t="e">
        <f ca="1">((AE19*60)*X19*W19)/(Harjoitusalueet!$C$5*3600)*100</f>
        <v>#DIV/0!</v>
      </c>
      <c r="AE19" s="66">
        <f t="shared" si="32"/>
        <v>60</v>
      </c>
      <c r="AF19" s="66">
        <f t="shared" si="33"/>
        <v>15</v>
      </c>
      <c r="AG19" s="66">
        <f t="shared" si="34"/>
        <v>35</v>
      </c>
      <c r="AH19" s="68"/>
      <c r="AI19" s="68"/>
    </row>
    <row r="20" spans="1:35" ht="16.5" thickBot="1" x14ac:dyDescent="0.3">
      <c r="A20" s="77">
        <f t="shared" si="2"/>
        <v>44256</v>
      </c>
      <c r="B20" s="78">
        <f t="shared" si="0"/>
        <v>9</v>
      </c>
      <c r="C20" s="78" t="str">
        <f>VLOOKUP(Table16[[#This Row],[Jakso-koodi]],Jaksokoodit,2,FALSE)</f>
        <v>Anaerobinen kynnys</v>
      </c>
      <c r="D20" s="78">
        <v>3</v>
      </c>
      <c r="E20" s="78" t="str">
        <f>VLOOKUP(Table16[[#This Row],[Viikko-koodi]],Viikkokoodit,2,TRUE)</f>
        <v>Kova 1</v>
      </c>
      <c r="F20" s="78">
        <v>0</v>
      </c>
      <c r="G20" s="79"/>
      <c r="H20" s="68" t="s">
        <v>249</v>
      </c>
      <c r="I20" s="68">
        <v>70</v>
      </c>
      <c r="J20" s="76" t="e">
        <f ca="1">K20/Harjoitusalueet!$C$5</f>
        <v>#DIV/0!</v>
      </c>
      <c r="K20" s="82">
        <f ca="1">Harjoitusalueet!$C$5*1.02</f>
        <v>0</v>
      </c>
      <c r="L20" s="68">
        <v>1</v>
      </c>
      <c r="M20" s="68">
        <v>10</v>
      </c>
      <c r="N20" s="68">
        <v>5</v>
      </c>
      <c r="O20" s="68"/>
      <c r="P20" s="68">
        <v>2</v>
      </c>
      <c r="Q20" s="105" t="e">
        <f ca="1">((R20*60)*K20*J20)/(Harjoitusalueet!$C$5*3600)*100</f>
        <v>#DIV/0!</v>
      </c>
      <c r="R20" s="108">
        <f t="shared" si="29"/>
        <v>50</v>
      </c>
      <c r="S20" s="108">
        <f t="shared" si="30"/>
        <v>18</v>
      </c>
      <c r="T20" s="115">
        <f t="shared" si="31"/>
        <v>2</v>
      </c>
      <c r="U20" s="105"/>
      <c r="V20" s="105"/>
      <c r="W20" s="106"/>
      <c r="X20" s="108">
        <f ca="1">W20*Harjoitusalueet!$C$5</f>
        <v>0</v>
      </c>
      <c r="Y20" s="105"/>
      <c r="Z20" s="105"/>
      <c r="AA20" s="105"/>
      <c r="AB20" s="105"/>
      <c r="AC20" s="105"/>
      <c r="AD20" s="105" t="e">
        <f ca="1">((AE20*60)*X20*W20)/(Harjoitusalueet!$C$5*3600)*100</f>
        <v>#DIV/0!</v>
      </c>
      <c r="AE20" s="108">
        <f t="shared" si="32"/>
        <v>0</v>
      </c>
      <c r="AF20" s="108">
        <f t="shared" si="33"/>
        <v>0</v>
      </c>
      <c r="AG20" s="108">
        <f t="shared" si="34"/>
        <v>0</v>
      </c>
      <c r="AH20" s="68" t="s">
        <v>250</v>
      </c>
      <c r="AI20" s="68" t="s">
        <v>193</v>
      </c>
    </row>
    <row r="21" spans="1:35" x14ac:dyDescent="0.25">
      <c r="A21" s="67">
        <f t="shared" si="2"/>
        <v>44263</v>
      </c>
      <c r="B21" s="58">
        <f t="shared" si="0"/>
        <v>10</v>
      </c>
      <c r="C21" s="58" t="str">
        <f>VLOOKUP(Table16[[#This Row],[Jakso-koodi]],Jaksokoodit,2,FALSE)</f>
        <v>Anaerobinen kynnys</v>
      </c>
      <c r="D21" s="58">
        <v>3</v>
      </c>
      <c r="E21" s="58" t="str">
        <f>VLOOKUP(Table16[[#This Row],[Viikko-koodi]],Viikkokoodit,2,TRUE)</f>
        <v>Kova 2</v>
      </c>
      <c r="F21" s="58">
        <v>1</v>
      </c>
      <c r="G21" s="69"/>
      <c r="H21" s="68" t="s">
        <v>251</v>
      </c>
      <c r="I21" s="68">
        <v>70</v>
      </c>
      <c r="J21" s="76" t="e">
        <f ca="1">K21/Harjoitusalueet!$C$5</f>
        <v>#DIV/0!</v>
      </c>
      <c r="K21" s="82">
        <f ca="1">Harjoitusalueet!$C$5*1.02</f>
        <v>0</v>
      </c>
      <c r="L21" s="68">
        <v>1</v>
      </c>
      <c r="M21" s="68">
        <v>10</v>
      </c>
      <c r="N21" s="68">
        <v>6</v>
      </c>
      <c r="O21" s="68"/>
      <c r="P21" s="68">
        <v>2</v>
      </c>
      <c r="Q21" s="68" t="e">
        <f ca="1">((R21*60)*K21*J21)/(Harjoitusalueet!$C$5*3600)*100</f>
        <v>#DIV/0!</v>
      </c>
      <c r="R21" s="66">
        <f t="shared" ref="R21:R22" si="35">L21*M21*N21</f>
        <v>60</v>
      </c>
      <c r="S21" s="66">
        <f t="shared" ref="S21:S22" si="36">P21*(M21-1)+O21*(L21-1)</f>
        <v>18</v>
      </c>
      <c r="T21" s="110">
        <f t="shared" ref="T21:T22" si="37">I21-R21-S21</f>
        <v>-8</v>
      </c>
      <c r="U21" s="68" t="s">
        <v>146</v>
      </c>
      <c r="V21" s="68">
        <v>110</v>
      </c>
      <c r="W21" s="76"/>
      <c r="X21" s="66">
        <f ca="1">W21*Harjoitusalueet!$C$5</f>
        <v>0</v>
      </c>
      <c r="Y21" s="68">
        <v>1</v>
      </c>
      <c r="Z21" s="68">
        <v>6</v>
      </c>
      <c r="AA21" s="68">
        <v>10</v>
      </c>
      <c r="AB21" s="68">
        <v>0</v>
      </c>
      <c r="AC21" s="68">
        <v>3</v>
      </c>
      <c r="AD21" s="68" t="e">
        <f ca="1">((AE21*60)*X21*W21)/(Harjoitusalueet!$C$5*3600)*100</f>
        <v>#DIV/0!</v>
      </c>
      <c r="AE21" s="66">
        <f t="shared" ref="AE21:AE22" si="38">Y21*Z21*AA21</f>
        <v>60</v>
      </c>
      <c r="AF21" s="66">
        <f t="shared" ref="AF21:AF22" si="39">AC21*(Z21-1)+AB21*(Y21-1)</f>
        <v>15</v>
      </c>
      <c r="AG21" s="66">
        <f t="shared" ref="AG21:AG22" si="40">V21-AE21-AF21</f>
        <v>35</v>
      </c>
      <c r="AH21" s="68" t="s">
        <v>272</v>
      </c>
      <c r="AI21" s="68" t="s">
        <v>193</v>
      </c>
    </row>
    <row r="22" spans="1:35" x14ac:dyDescent="0.25">
      <c r="A22" s="65">
        <f t="shared" si="2"/>
        <v>44270</v>
      </c>
      <c r="B22" s="57">
        <f t="shared" si="0"/>
        <v>11</v>
      </c>
      <c r="C22" s="57" t="str">
        <f>VLOOKUP(Table16[[#This Row],[Jakso-koodi]],Jaksokoodit,2,FALSE)</f>
        <v>Anaerobinen kynnys</v>
      </c>
      <c r="D22" s="57">
        <v>3</v>
      </c>
      <c r="E22" s="57" t="str">
        <f>VLOOKUP(Table16[[#This Row],[Viikko-koodi]],Viikkokoodit,2,TRUE)</f>
        <v>Kova 1</v>
      </c>
      <c r="F22" s="57">
        <v>2</v>
      </c>
      <c r="G22" s="61" t="s">
        <v>16</v>
      </c>
      <c r="H22" s="68" t="s">
        <v>282</v>
      </c>
      <c r="I22" s="68">
        <v>70</v>
      </c>
      <c r="J22" s="76" t="e">
        <f ca="1">K22/Harjoitusalueet!$C$5</f>
        <v>#DIV/0!</v>
      </c>
      <c r="K22" s="82" t="e">
        <f ca="1">Harjoitusalueet!M13</f>
        <v>#DIV/0!</v>
      </c>
      <c r="L22" s="68">
        <v>1</v>
      </c>
      <c r="M22" s="68">
        <v>40</v>
      </c>
      <c r="N22" s="68">
        <v>0</v>
      </c>
      <c r="O22" s="68"/>
      <c r="P22" s="68">
        <v>0</v>
      </c>
      <c r="Q22" s="68" t="e">
        <f ca="1">((R22*60)*K22*J22)/(Harjoitusalueet!$C$5*3600)*100</f>
        <v>#DIV/0!</v>
      </c>
      <c r="R22" s="66">
        <f t="shared" si="35"/>
        <v>0</v>
      </c>
      <c r="S22" s="66">
        <f t="shared" si="36"/>
        <v>0</v>
      </c>
      <c r="T22" s="110">
        <f t="shared" si="37"/>
        <v>70</v>
      </c>
      <c r="U22" s="68" t="s">
        <v>146</v>
      </c>
      <c r="V22" s="68">
        <v>110</v>
      </c>
      <c r="W22" s="76"/>
      <c r="X22" s="66">
        <f ca="1">W22*Harjoitusalueet!$C$5</f>
        <v>0</v>
      </c>
      <c r="Y22" s="68">
        <v>1</v>
      </c>
      <c r="Z22" s="68">
        <v>6</v>
      </c>
      <c r="AA22" s="68">
        <v>10</v>
      </c>
      <c r="AB22" s="68">
        <v>0</v>
      </c>
      <c r="AC22" s="68">
        <v>3</v>
      </c>
      <c r="AD22" s="68" t="e">
        <f ca="1">((AE22*60)*X22*W22)/(Harjoitusalueet!$C$5*3600)*100</f>
        <v>#DIV/0!</v>
      </c>
      <c r="AE22" s="66">
        <f t="shared" si="38"/>
        <v>60</v>
      </c>
      <c r="AF22" s="66">
        <f t="shared" si="39"/>
        <v>15</v>
      </c>
      <c r="AG22" s="66">
        <f t="shared" si="40"/>
        <v>35</v>
      </c>
      <c r="AH22" s="68" t="s">
        <v>283</v>
      </c>
      <c r="AI22" s="68" t="s">
        <v>188</v>
      </c>
    </row>
    <row r="23" spans="1:35" x14ac:dyDescent="0.25">
      <c r="A23" s="67">
        <f t="shared" si="2"/>
        <v>44277</v>
      </c>
      <c r="B23" s="58">
        <f t="shared" si="0"/>
        <v>12</v>
      </c>
      <c r="C23" s="58" t="str">
        <f>VLOOKUP(Table16[[#This Row],[Jakso-koodi]],Jaksokoodit,2,FALSE)</f>
        <v>Vauhtikestävyys</v>
      </c>
      <c r="D23" s="58">
        <v>3</v>
      </c>
      <c r="E23" s="58" t="str">
        <f>VLOOKUP(Table16[[#This Row],[Viikko-koodi]],Viikkokoodit,2,TRUE)</f>
        <v>Kova 1</v>
      </c>
      <c r="F23" s="58">
        <v>3</v>
      </c>
      <c r="G23" s="69"/>
      <c r="H23" s="80" t="s">
        <v>166</v>
      </c>
      <c r="I23" s="68">
        <v>80</v>
      </c>
      <c r="J23" s="75" t="e">
        <f ca="1">K23/Harjoitusalueet!$C$5</f>
        <v>#DIV/0!</v>
      </c>
      <c r="K23" s="82">
        <f ca="1">0.85*Harjoitusalueet!$C$5</f>
        <v>0</v>
      </c>
      <c r="L23" s="68">
        <v>1</v>
      </c>
      <c r="M23" s="68">
        <v>3</v>
      </c>
      <c r="N23" s="68">
        <v>20</v>
      </c>
      <c r="O23" s="68">
        <v>0</v>
      </c>
      <c r="P23" s="68">
        <v>5</v>
      </c>
      <c r="Q23" s="68" t="e">
        <f ca="1">((R23*60)*K23*J23)/(Harjoitusalueet!$C$5*3600)*100</f>
        <v>#DIV/0!</v>
      </c>
      <c r="R23" s="66">
        <f t="shared" si="21"/>
        <v>60</v>
      </c>
      <c r="S23" s="66">
        <f t="shared" si="6"/>
        <v>10</v>
      </c>
      <c r="T23" s="110">
        <f t="shared" si="3"/>
        <v>10</v>
      </c>
      <c r="U23" s="68" t="s">
        <v>147</v>
      </c>
      <c r="V23" s="68">
        <v>120</v>
      </c>
      <c r="W23" s="76">
        <v>0.85</v>
      </c>
      <c r="X23" s="66">
        <f ca="1">W23*Harjoitusalueet!$C$5</f>
        <v>0</v>
      </c>
      <c r="Y23" s="68">
        <v>1</v>
      </c>
      <c r="Z23" s="68">
        <v>4</v>
      </c>
      <c r="AA23" s="68">
        <v>20</v>
      </c>
      <c r="AB23" s="68">
        <v>0</v>
      </c>
      <c r="AC23" s="68">
        <v>5</v>
      </c>
      <c r="AD23" s="68" t="e">
        <f ca="1">((AE23*60)*X23*W23)/(Harjoitusalueet!$C$5*3600)*100</f>
        <v>#DIV/0!</v>
      </c>
      <c r="AE23" s="66">
        <f t="shared" si="22"/>
        <v>80</v>
      </c>
      <c r="AF23" s="66">
        <f t="shared" si="7"/>
        <v>15</v>
      </c>
      <c r="AG23" s="66">
        <f t="shared" si="5"/>
        <v>25</v>
      </c>
      <c r="AH23" s="66" t="s">
        <v>286</v>
      </c>
      <c r="AI23" s="66" t="s">
        <v>287</v>
      </c>
    </row>
    <row r="24" spans="1:35" x14ac:dyDescent="0.25">
      <c r="A24" s="65">
        <f t="shared" si="2"/>
        <v>44284</v>
      </c>
      <c r="B24" s="57">
        <f t="shared" si="0"/>
        <v>13</v>
      </c>
      <c r="C24" s="57" t="str">
        <f>VLOOKUP(Table16[[#This Row],[Jakso-koodi]],Jaksokoodit,2,FALSE)</f>
        <v>Vauhtikestävyys</v>
      </c>
      <c r="D24" s="57">
        <v>3</v>
      </c>
      <c r="E24" s="57" t="str">
        <f>VLOOKUP(Table16[[#This Row],[Viikko-koodi]],Viikkokoodit,2,TRUE)</f>
        <v>Kova 2</v>
      </c>
      <c r="F24" s="57">
        <v>0</v>
      </c>
      <c r="G24" s="61"/>
      <c r="H24" s="80" t="s">
        <v>253</v>
      </c>
      <c r="I24" s="80">
        <v>80</v>
      </c>
      <c r="J24" s="75" t="e">
        <f ca="1">K24/Harjoitusalueet!$C$5</f>
        <v>#DIV/0!</v>
      </c>
      <c r="K24" s="82">
        <f ca="1">0.85*Harjoitusalueet!$C$5</f>
        <v>0</v>
      </c>
      <c r="L24" s="80">
        <v>1</v>
      </c>
      <c r="M24" s="80">
        <v>4</v>
      </c>
      <c r="N24" s="80">
        <v>20</v>
      </c>
      <c r="O24" s="80"/>
      <c r="P24" s="80">
        <v>5</v>
      </c>
      <c r="Q24" s="68" t="e">
        <f ca="1">((R24*60)*K24*J24)/(Harjoitusalueet!$C$5*3600)*100</f>
        <v>#DIV/0!</v>
      </c>
      <c r="R24" s="66">
        <f t="shared" si="21"/>
        <v>80</v>
      </c>
      <c r="S24" s="66">
        <f t="shared" si="6"/>
        <v>15</v>
      </c>
      <c r="T24" s="110">
        <f t="shared" si="3"/>
        <v>-15</v>
      </c>
      <c r="U24" s="66" t="s">
        <v>149</v>
      </c>
      <c r="V24" s="66">
        <v>130</v>
      </c>
      <c r="W24" s="75">
        <v>0.95</v>
      </c>
      <c r="X24" s="66">
        <f ca="1">W24*Harjoitusalueet!$C$5</f>
        <v>0</v>
      </c>
      <c r="Y24" s="66">
        <v>1</v>
      </c>
      <c r="Z24" s="66">
        <v>3</v>
      </c>
      <c r="AA24" s="66">
        <v>20</v>
      </c>
      <c r="AB24" s="66">
        <v>0</v>
      </c>
      <c r="AC24" s="66">
        <v>5</v>
      </c>
      <c r="AD24" s="68" t="e">
        <f ca="1">((AE24*60)*X24*W24)/(Harjoitusalueet!$C$5*3600)*100</f>
        <v>#DIV/0!</v>
      </c>
      <c r="AE24" s="66">
        <f t="shared" si="22"/>
        <v>60</v>
      </c>
      <c r="AF24" s="66">
        <f t="shared" si="7"/>
        <v>10</v>
      </c>
      <c r="AG24" s="66">
        <f t="shared" si="5"/>
        <v>60</v>
      </c>
      <c r="AH24" s="66" t="s">
        <v>288</v>
      </c>
      <c r="AI24" s="66" t="s">
        <v>287</v>
      </c>
    </row>
    <row r="25" spans="1:35" s="49" customFormat="1" ht="16.5" thickBot="1" x14ac:dyDescent="0.3">
      <c r="A25" s="84">
        <f t="shared" si="2"/>
        <v>44291</v>
      </c>
      <c r="B25" s="85">
        <f t="shared" si="0"/>
        <v>14</v>
      </c>
      <c r="C25" s="85" t="str">
        <f>VLOOKUP(Table16[[#This Row],[Jakso-koodi]],Jaksokoodit,2,FALSE)</f>
        <v>Vauhtikestävyys</v>
      </c>
      <c r="D25" s="85">
        <v>3</v>
      </c>
      <c r="E25" s="85" t="str">
        <f>VLOOKUP(Table16[[#This Row],[Viikko-koodi]],Viikkokoodit,2,TRUE)</f>
        <v>Kevyt</v>
      </c>
      <c r="F25" s="85">
        <v>0</v>
      </c>
      <c r="G25" s="86"/>
      <c r="H25" s="87" t="s">
        <v>61</v>
      </c>
      <c r="I25" s="87"/>
      <c r="J25" s="88"/>
      <c r="K25" s="89">
        <f ca="1">J25*Harjoitusalueet!$C$5</f>
        <v>0</v>
      </c>
      <c r="L25" s="87"/>
      <c r="M25" s="87"/>
      <c r="N25" s="87"/>
      <c r="O25" s="87"/>
      <c r="P25" s="87"/>
      <c r="Q25" s="87" t="e">
        <f ca="1">((R25*60)*K25*J25)/(Harjoitusalueet!$C$5*3600)*100</f>
        <v>#DIV/0!</v>
      </c>
      <c r="R25" s="90">
        <f t="shared" si="21"/>
        <v>0</v>
      </c>
      <c r="S25" s="90">
        <f t="shared" si="6"/>
        <v>0</v>
      </c>
      <c r="T25" s="111">
        <f t="shared" si="3"/>
        <v>0</v>
      </c>
      <c r="U25" s="87"/>
      <c r="V25" s="87"/>
      <c r="W25" s="88"/>
      <c r="X25" s="90">
        <f ca="1">W25*Harjoitusalueet!$C$5</f>
        <v>0</v>
      </c>
      <c r="Y25" s="87"/>
      <c r="Z25" s="87"/>
      <c r="AA25" s="87"/>
      <c r="AB25" s="87"/>
      <c r="AC25" s="87"/>
      <c r="AD25" s="87" t="e">
        <f ca="1">((AE25*60)*X25*W25)/(Harjoitusalueet!$C$5*3600)*100</f>
        <v>#DIV/0!</v>
      </c>
      <c r="AE25" s="90">
        <f t="shared" si="22"/>
        <v>0</v>
      </c>
      <c r="AF25" s="90">
        <f t="shared" si="7"/>
        <v>0</v>
      </c>
      <c r="AG25" s="90">
        <f t="shared" si="5"/>
        <v>0</v>
      </c>
      <c r="AH25" s="87"/>
      <c r="AI25" s="87"/>
    </row>
    <row r="26" spans="1:35" x14ac:dyDescent="0.25">
      <c r="A26" s="77">
        <f t="shared" si="2"/>
        <v>44298</v>
      </c>
      <c r="B26" s="78">
        <f t="shared" si="0"/>
        <v>15</v>
      </c>
      <c r="C26" s="78" t="str">
        <f>VLOOKUP(Table16[[#This Row],[Jakso-koodi]],Jaksokoodit,2,FALSE)</f>
        <v>Vauhtikestävyys</v>
      </c>
      <c r="D26" s="78">
        <v>2</v>
      </c>
      <c r="E26" s="78" t="str">
        <f>VLOOKUP(Table16[[#This Row],[Viikko-koodi]],Viikkokoodit,2,TRUE)</f>
        <v>Kova 1</v>
      </c>
      <c r="F26" s="78">
        <v>1</v>
      </c>
      <c r="G26" s="79"/>
      <c r="H26" s="68" t="s">
        <v>161</v>
      </c>
      <c r="I26" s="68">
        <v>60</v>
      </c>
      <c r="J26" s="75" t="e">
        <f ca="1">K26/Harjoitusalueet!$C$5</f>
        <v>#DIV/0!</v>
      </c>
      <c r="K26" s="82">
        <f ca="1">Harjoitusalueet!$C$5</f>
        <v>0</v>
      </c>
      <c r="L26" s="68">
        <v>1</v>
      </c>
      <c r="M26" s="68">
        <v>3</v>
      </c>
      <c r="N26" s="68">
        <v>10</v>
      </c>
      <c r="O26" s="68"/>
      <c r="P26" s="68">
        <v>2</v>
      </c>
      <c r="Q26" s="83" t="e">
        <f ca="1">((R26*60)*K26*J26)/(Harjoitusalueet!$C$5*3600)*100</f>
        <v>#DIV/0!</v>
      </c>
      <c r="R26" s="80">
        <f t="shared" si="21"/>
        <v>30</v>
      </c>
      <c r="S26" s="80">
        <f t="shared" si="6"/>
        <v>4</v>
      </c>
      <c r="T26" s="112">
        <f t="shared" si="3"/>
        <v>26</v>
      </c>
      <c r="U26" s="80" t="s">
        <v>151</v>
      </c>
      <c r="V26" s="80">
        <v>120</v>
      </c>
      <c r="W26" s="81" t="e">
        <f ca="1">X26/Harjoitusalueet!$C$5</f>
        <v>#DIV/0!</v>
      </c>
      <c r="X26" s="80">
        <f ca="1">0.95*Harjoitusalueet!$C$5</f>
        <v>0</v>
      </c>
      <c r="Y26" s="80">
        <v>1</v>
      </c>
      <c r="Z26" s="80">
        <v>5</v>
      </c>
      <c r="AA26" s="80">
        <v>15</v>
      </c>
      <c r="AB26" s="80">
        <v>0</v>
      </c>
      <c r="AC26" s="80">
        <v>5</v>
      </c>
      <c r="AD26" s="83" t="e">
        <f ca="1">((AE26*60)*X26*W26)/(Harjoitusalueet!$C$5*3600)*100</f>
        <v>#DIV/0!</v>
      </c>
      <c r="AE26" s="80">
        <f t="shared" si="22"/>
        <v>75</v>
      </c>
      <c r="AF26" s="80">
        <f t="shared" si="7"/>
        <v>20</v>
      </c>
      <c r="AG26" s="80">
        <f t="shared" si="5"/>
        <v>25</v>
      </c>
      <c r="AH26" s="80" t="s">
        <v>284</v>
      </c>
      <c r="AI26" s="80" t="s">
        <v>202</v>
      </c>
    </row>
    <row r="27" spans="1:35" x14ac:dyDescent="0.25">
      <c r="A27" s="67">
        <f t="shared" si="2"/>
        <v>44305</v>
      </c>
      <c r="B27" s="58">
        <f t="shared" si="0"/>
        <v>16</v>
      </c>
      <c r="C27" s="58" t="str">
        <f>VLOOKUP(Table16[[#This Row],[Jakso-koodi]],Jaksokoodit,2,FALSE)</f>
        <v>Vauhtikestävyys</v>
      </c>
      <c r="D27" s="58">
        <v>2</v>
      </c>
      <c r="E27" s="58" t="str">
        <f>VLOOKUP(Table16[[#This Row],[Viikko-koodi]],Viikkokoodit,2,TRUE)</f>
        <v>Kova 1</v>
      </c>
      <c r="F27" s="58">
        <v>2</v>
      </c>
      <c r="G27" s="69" t="s">
        <v>150</v>
      </c>
      <c r="H27" s="68" t="s">
        <v>150</v>
      </c>
      <c r="I27" s="68">
        <v>60</v>
      </c>
      <c r="J27" s="75" t="e">
        <f ca="1">K27/Harjoitusalueet!$C$5</f>
        <v>#DIV/0!</v>
      </c>
      <c r="K27" s="82">
        <f ca="1">Table2[[#Totals],[Keskiteho]]</f>
        <v>0</v>
      </c>
      <c r="L27" s="68">
        <v>1</v>
      </c>
      <c r="M27" s="68">
        <v>1</v>
      </c>
      <c r="N27" s="68">
        <v>180</v>
      </c>
      <c r="O27" s="68"/>
      <c r="P27" s="68">
        <v>0</v>
      </c>
      <c r="Q27" s="68" t="e">
        <f ca="1">((R27*60)*K27*J27)/(Harjoitusalueet!$C$5*3600)*100</f>
        <v>#DIV/0!</v>
      </c>
      <c r="R27" s="66">
        <f t="shared" si="21"/>
        <v>180</v>
      </c>
      <c r="S27" s="66">
        <f t="shared" si="6"/>
        <v>0</v>
      </c>
      <c r="T27" s="110">
        <f t="shared" si="3"/>
        <v>-120</v>
      </c>
      <c r="U27" s="68" t="s">
        <v>152</v>
      </c>
      <c r="V27" s="68">
        <v>90</v>
      </c>
      <c r="W27" s="76" t="e">
        <f ca="1">X27/Harjoitusalueet!$C$5</f>
        <v>#DIV/0!</v>
      </c>
      <c r="X27" s="66">
        <f ca="1">0.95*Harjoitusalueet!$C$5</f>
        <v>0</v>
      </c>
      <c r="Y27" s="68">
        <v>1</v>
      </c>
      <c r="Z27" s="68">
        <v>3</v>
      </c>
      <c r="AA27" s="68">
        <v>15</v>
      </c>
      <c r="AB27" s="68">
        <v>0</v>
      </c>
      <c r="AC27" s="68">
        <v>2</v>
      </c>
      <c r="AD27" s="68" t="e">
        <f ca="1">((AE27*60)*X27*W27)/(Harjoitusalueet!$C$5*3600)*100</f>
        <v>#DIV/0!</v>
      </c>
      <c r="AE27" s="66">
        <f t="shared" si="22"/>
        <v>45</v>
      </c>
      <c r="AF27" s="66">
        <f t="shared" si="7"/>
        <v>4</v>
      </c>
      <c r="AG27" s="66">
        <f t="shared" si="5"/>
        <v>41</v>
      </c>
      <c r="AH27" s="66" t="s">
        <v>176</v>
      </c>
      <c r="AI27" s="66" t="s">
        <v>194</v>
      </c>
    </row>
    <row r="28" spans="1:35" x14ac:dyDescent="0.25">
      <c r="A28" s="65">
        <f t="shared" si="2"/>
        <v>44312</v>
      </c>
      <c r="B28" s="57">
        <f t="shared" si="0"/>
        <v>17</v>
      </c>
      <c r="C28" s="57" t="str">
        <f>VLOOKUP(Table16[[#This Row],[Jakso-koodi]],Jaksokoodit,2,FALSE)</f>
        <v>Vauhtikestävyys</v>
      </c>
      <c r="D28" s="57">
        <v>2</v>
      </c>
      <c r="E28" s="57" t="str">
        <f>VLOOKUP(Table16[[#This Row],[Viikko-koodi]],Viikkokoodit,2,TRUE)</f>
        <v>Kova 1</v>
      </c>
      <c r="F28" s="57">
        <v>0</v>
      </c>
      <c r="G28" s="61"/>
      <c r="H28" s="66" t="s">
        <v>255</v>
      </c>
      <c r="I28" s="66"/>
      <c r="J28" s="75" t="e">
        <f ca="1">K28/Harjoitusalueet!$C$5</f>
        <v>#DIV/0!</v>
      </c>
      <c r="K28" s="82">
        <f ca="1">Harjoitusalueet!C5</f>
        <v>0</v>
      </c>
      <c r="L28" s="66">
        <v>1</v>
      </c>
      <c r="M28" s="66">
        <v>4</v>
      </c>
      <c r="N28" s="66">
        <v>8</v>
      </c>
      <c r="O28" s="66"/>
      <c r="P28" s="66">
        <v>2</v>
      </c>
      <c r="Q28" s="68" t="e">
        <f ca="1">((R28*60)*K28*J28)/(Harjoitusalueet!$C$5*3600)*100</f>
        <v>#DIV/0!</v>
      </c>
      <c r="R28" s="66">
        <f t="shared" si="21"/>
        <v>32</v>
      </c>
      <c r="S28" s="66">
        <f t="shared" si="6"/>
        <v>6</v>
      </c>
      <c r="T28" s="110">
        <f t="shared" si="3"/>
        <v>-38</v>
      </c>
      <c r="U28" s="66" t="s">
        <v>150</v>
      </c>
      <c r="V28" s="66"/>
      <c r="W28" s="75"/>
      <c r="X28" s="82">
        <f ca="1">0.95*Harjoitusalueet!$C$5</f>
        <v>0</v>
      </c>
      <c r="Y28" s="66"/>
      <c r="Z28" s="66"/>
      <c r="AA28" s="66"/>
      <c r="AB28" s="66"/>
      <c r="AC28" s="66"/>
      <c r="AD28" s="68" t="e">
        <f ca="1">((AE28*60)*X28*W28)/(Harjoitusalueet!$C$5*3600)*100</f>
        <v>#DIV/0!</v>
      </c>
      <c r="AE28" s="66">
        <f t="shared" si="22"/>
        <v>0</v>
      </c>
      <c r="AF28" s="66">
        <f t="shared" si="7"/>
        <v>0</v>
      </c>
      <c r="AG28" s="66">
        <f t="shared" si="5"/>
        <v>0</v>
      </c>
      <c r="AH28" s="66" t="s">
        <v>285</v>
      </c>
      <c r="AI28" s="66"/>
    </row>
    <row r="29" spans="1:35" s="49" customFormat="1" ht="16.5" thickBot="1" x14ac:dyDescent="0.3">
      <c r="A29" s="84">
        <f t="shared" si="2"/>
        <v>44319</v>
      </c>
      <c r="B29" s="85">
        <f t="shared" si="0"/>
        <v>18</v>
      </c>
      <c r="C29" s="85" t="str">
        <f>VLOOKUP(Table16[[#This Row],[Jakso-koodi]],Jaksokoodit,2,FALSE)</f>
        <v>Vauhtikestävyys</v>
      </c>
      <c r="D29" s="85">
        <v>2</v>
      </c>
      <c r="E29" s="85" t="str">
        <f>VLOOKUP(Table16[[#This Row],[Viikko-koodi]],Viikkokoodit,2,TRUE)</f>
        <v>Kova 2</v>
      </c>
      <c r="F29" s="85">
        <v>0</v>
      </c>
      <c r="G29" s="86"/>
      <c r="H29" s="66" t="s">
        <v>252</v>
      </c>
      <c r="I29" s="66"/>
      <c r="J29" s="75" t="e">
        <f ca="1">K29/Harjoitusalueet!$C$5</f>
        <v>#DIV/0!</v>
      </c>
      <c r="K29" s="82">
        <f ca="1">Harjoitusalueet!C5</f>
        <v>0</v>
      </c>
      <c r="L29" s="66">
        <v>1</v>
      </c>
      <c r="M29" s="66">
        <v>4</v>
      </c>
      <c r="N29" s="66">
        <v>10</v>
      </c>
      <c r="O29" s="66"/>
      <c r="P29" s="66">
        <v>2</v>
      </c>
      <c r="Q29" s="87" t="e">
        <f ca="1">((R29*60)*K29*J29)/(Harjoitusalueet!$C$5*3600)*100</f>
        <v>#DIV/0!</v>
      </c>
      <c r="R29" s="90">
        <f t="shared" si="21"/>
        <v>40</v>
      </c>
      <c r="S29" s="90">
        <f t="shared" si="6"/>
        <v>6</v>
      </c>
      <c r="T29" s="111">
        <f t="shared" si="3"/>
        <v>-46</v>
      </c>
      <c r="U29" s="87"/>
      <c r="V29" s="87"/>
      <c r="W29" s="88"/>
      <c r="X29" s="90">
        <f ca="1">W29*Harjoitusalueet!$C$5</f>
        <v>0</v>
      </c>
      <c r="Y29" s="87"/>
      <c r="Z29" s="87"/>
      <c r="AA29" s="87"/>
      <c r="AB29" s="87"/>
      <c r="AC29" s="87"/>
      <c r="AD29" s="87" t="e">
        <f ca="1">((AE29*60)*X29*W29)/(Harjoitusalueet!$C$5*3600)*100</f>
        <v>#DIV/0!</v>
      </c>
      <c r="AE29" s="90">
        <f t="shared" si="22"/>
        <v>0</v>
      </c>
      <c r="AF29" s="90">
        <f t="shared" si="7"/>
        <v>0</v>
      </c>
      <c r="AG29" s="90">
        <f t="shared" si="5"/>
        <v>0</v>
      </c>
      <c r="AH29" s="87" t="s">
        <v>284</v>
      </c>
      <c r="AI29" s="87"/>
    </row>
    <row r="31" spans="1:35" x14ac:dyDescent="0.25">
      <c r="T31"/>
    </row>
    <row r="32" spans="1:35" x14ac:dyDescent="0.25">
      <c r="T32"/>
    </row>
    <row r="33" spans="20:20" x14ac:dyDescent="0.25">
      <c r="T33"/>
    </row>
    <row r="34" spans="20:20" x14ac:dyDescent="0.25">
      <c r="T34"/>
    </row>
    <row r="35" spans="20:20" x14ac:dyDescent="0.25">
      <c r="T35"/>
    </row>
    <row r="36" spans="20:20" x14ac:dyDescent="0.25">
      <c r="T36"/>
    </row>
    <row r="37" spans="20:20" x14ac:dyDescent="0.25">
      <c r="T37"/>
    </row>
    <row r="38" spans="20:20" x14ac:dyDescent="0.25">
      <c r="T38"/>
    </row>
    <row r="39" spans="20:20" x14ac:dyDescent="0.25">
      <c r="T39"/>
    </row>
    <row r="40" spans="20:20" x14ac:dyDescent="0.25">
      <c r="T40"/>
    </row>
    <row r="41" spans="20:20" x14ac:dyDescent="0.25">
      <c r="T41"/>
    </row>
    <row r="42" spans="20:20" x14ac:dyDescent="0.25">
      <c r="T42"/>
    </row>
    <row r="43" spans="20:20" x14ac:dyDescent="0.25">
      <c r="T43"/>
    </row>
    <row r="44" spans="20:20" x14ac:dyDescent="0.25">
      <c r="T44"/>
    </row>
    <row r="45" spans="20:20" x14ac:dyDescent="0.25">
      <c r="T45"/>
    </row>
    <row r="46" spans="20:20" x14ac:dyDescent="0.25">
      <c r="T46"/>
    </row>
    <row r="47" spans="20:20" x14ac:dyDescent="0.25">
      <c r="T47"/>
    </row>
    <row r="48" spans="20:20" x14ac:dyDescent="0.25">
      <c r="T48"/>
    </row>
    <row r="49" spans="20:20" x14ac:dyDescent="0.25">
      <c r="T49"/>
    </row>
    <row r="50" spans="20:20" x14ac:dyDescent="0.25">
      <c r="T50"/>
    </row>
    <row r="51" spans="20:20" x14ac:dyDescent="0.25">
      <c r="T51"/>
    </row>
    <row r="52" spans="20:20" x14ac:dyDescent="0.25">
      <c r="T52"/>
    </row>
    <row r="53" spans="20:20" x14ac:dyDescent="0.25">
      <c r="T53"/>
    </row>
    <row r="54" spans="20:20" x14ac:dyDescent="0.25">
      <c r="T54"/>
    </row>
    <row r="55" spans="20:20" x14ac:dyDescent="0.25">
      <c r="T55"/>
    </row>
    <row r="56" spans="20:20" x14ac:dyDescent="0.25">
      <c r="T56"/>
    </row>
    <row r="57" spans="20:20" x14ac:dyDescent="0.25">
      <c r="T57"/>
    </row>
    <row r="58" spans="20:20" x14ac:dyDescent="0.25">
      <c r="T58"/>
    </row>
    <row r="59" spans="20:20" x14ac:dyDescent="0.25">
      <c r="T59"/>
    </row>
  </sheetData>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K59"/>
  <sheetViews>
    <sheetView topLeftCell="D1" workbookViewId="0">
      <selection activeCell="X23" sqref="X23"/>
    </sheetView>
  </sheetViews>
  <sheetFormatPr defaultColWidth="8.875" defaultRowHeight="15.75" x14ac:dyDescent="0.25"/>
  <cols>
    <col min="1" max="1" width="12.5" customWidth="1"/>
    <col min="7" max="7" width="18.625" customWidth="1"/>
    <col min="8" max="8" width="15.125" customWidth="1"/>
    <col min="9" max="9" width="12.125" customWidth="1"/>
    <col min="10" max="10" width="11.5" customWidth="1"/>
    <col min="11" max="11" width="5.625" customWidth="1"/>
    <col min="12" max="12" width="6.625" customWidth="1"/>
    <col min="13" max="13" width="7" customWidth="1"/>
    <col min="14" max="14" width="7.625" customWidth="1"/>
    <col min="15" max="15" width="9.125" customWidth="1"/>
    <col min="16" max="16" width="8.125" customWidth="1"/>
    <col min="17" max="17" width="9.125" customWidth="1"/>
    <col min="18" max="18" width="13.125" customWidth="1"/>
    <col min="19" max="19" width="10.625" customWidth="1"/>
    <col min="20" max="20" width="12.125" style="55" customWidth="1"/>
    <col min="21" max="21" width="6.875" customWidth="1"/>
    <col min="22" max="23" width="11.625" customWidth="1"/>
    <col min="24" max="25" width="6.625" customWidth="1"/>
    <col min="26" max="26" width="6.875" customWidth="1"/>
    <col min="27" max="27" width="6.125" customWidth="1"/>
    <col min="28" max="28" width="8.5" customWidth="1"/>
    <col min="29" max="29" width="8.375" customWidth="1"/>
    <col min="30" max="30" width="12.625" customWidth="1"/>
    <col min="31" max="31" width="13.625" customWidth="1"/>
    <col min="32" max="32" width="8.625" customWidth="1"/>
    <col min="33" max="33" width="12.875" customWidth="1"/>
  </cols>
  <sheetData>
    <row r="1" spans="1:37" ht="33" customHeight="1" x14ac:dyDescent="0.25">
      <c r="A1" s="62" t="s">
        <v>23</v>
      </c>
      <c r="B1" s="63" t="s">
        <v>102</v>
      </c>
      <c r="C1" s="63" t="s">
        <v>14</v>
      </c>
      <c r="D1" s="63" t="s">
        <v>101</v>
      </c>
      <c r="E1" s="63" t="s">
        <v>17</v>
      </c>
      <c r="F1" s="63" t="s">
        <v>100</v>
      </c>
      <c r="G1" s="64" t="s">
        <v>106</v>
      </c>
      <c r="H1" s="63" t="s">
        <v>18</v>
      </c>
      <c r="I1" s="63" t="s">
        <v>129</v>
      </c>
      <c r="J1" s="63" t="s">
        <v>133</v>
      </c>
      <c r="K1" s="63" t="s">
        <v>134</v>
      </c>
      <c r="L1" s="63" t="s">
        <v>127</v>
      </c>
      <c r="M1" s="63" t="s">
        <v>137</v>
      </c>
      <c r="N1" s="63" t="s">
        <v>130</v>
      </c>
      <c r="O1" s="63" t="s">
        <v>140</v>
      </c>
      <c r="P1" s="63" t="s">
        <v>141</v>
      </c>
      <c r="Q1" s="63" t="s">
        <v>142</v>
      </c>
      <c r="R1" s="63" t="s">
        <v>132</v>
      </c>
      <c r="S1" s="63" t="s">
        <v>136</v>
      </c>
      <c r="T1" s="109" t="s">
        <v>135</v>
      </c>
      <c r="U1" s="63" t="s">
        <v>88</v>
      </c>
      <c r="V1" s="63" t="s">
        <v>129</v>
      </c>
      <c r="W1" s="63" t="s">
        <v>133</v>
      </c>
      <c r="X1" s="63" t="s">
        <v>134</v>
      </c>
      <c r="Y1" s="63" t="s">
        <v>127</v>
      </c>
      <c r="Z1" s="63" t="s">
        <v>137</v>
      </c>
      <c r="AA1" s="63" t="s">
        <v>30</v>
      </c>
      <c r="AB1" s="63" t="s">
        <v>140</v>
      </c>
      <c r="AC1" s="63" t="s">
        <v>141</v>
      </c>
      <c r="AD1" s="63" t="s">
        <v>142</v>
      </c>
      <c r="AE1" s="63" t="s">
        <v>132</v>
      </c>
      <c r="AF1" s="63" t="s">
        <v>128</v>
      </c>
      <c r="AG1" s="63" t="s">
        <v>135</v>
      </c>
      <c r="AH1" s="63" t="s">
        <v>203</v>
      </c>
      <c r="AI1" s="63" t="s">
        <v>204</v>
      </c>
      <c r="AJ1" s="63" t="s">
        <v>205</v>
      </c>
      <c r="AK1" s="63" t="s">
        <v>206</v>
      </c>
    </row>
    <row r="2" spans="1:37" x14ac:dyDescent="0.25">
      <c r="A2" s="65">
        <v>44130</v>
      </c>
      <c r="B2" s="57">
        <f t="shared" ref="B2:B29" si="0">WEEKNUM(A2,21)</f>
        <v>44</v>
      </c>
      <c r="C2" s="57" t="s">
        <v>24</v>
      </c>
      <c r="D2" s="57"/>
      <c r="E2" s="57" t="str">
        <f>VLOOKUP(Table16[[#This Row],[Viikko-koodi]],Viikkokoodit,2,TRUE)</f>
        <v>Kova 1</v>
      </c>
      <c r="F2" s="57">
        <v>0</v>
      </c>
      <c r="G2" s="61" t="s">
        <v>94</v>
      </c>
      <c r="H2" s="66" t="s">
        <v>294</v>
      </c>
      <c r="I2" s="66">
        <v>70</v>
      </c>
      <c r="J2" s="75">
        <v>0.95</v>
      </c>
      <c r="K2" s="60">
        <f ca="1">J2*Harjoitusalueet!$C$5</f>
        <v>0</v>
      </c>
      <c r="L2" s="66">
        <v>1</v>
      </c>
      <c r="M2" s="66">
        <v>4</v>
      </c>
      <c r="N2" s="66">
        <v>6</v>
      </c>
      <c r="O2" s="66"/>
      <c r="P2" s="66">
        <v>2</v>
      </c>
      <c r="Q2" s="68" t="e">
        <f ca="1">((R2*60)*K2*J2)/(Harjoitusalueet!$C$5*3600)*100</f>
        <v>#DIV/0!</v>
      </c>
      <c r="R2" s="66">
        <f t="shared" ref="R2:R10" si="1">L2*M2*N2</f>
        <v>24</v>
      </c>
      <c r="S2" s="66">
        <f>P2*(M2-1)+O2*(L2-1)</f>
        <v>6</v>
      </c>
      <c r="T2" s="110">
        <f>I2-R2-S2</f>
        <v>40</v>
      </c>
      <c r="U2" s="66" t="s">
        <v>292</v>
      </c>
      <c r="V2" s="66"/>
      <c r="W2" s="75"/>
      <c r="X2" s="66">
        <f ca="1">Harjoitusalueet!D27</f>
        <v>0</v>
      </c>
      <c r="Y2" s="66"/>
      <c r="Z2" s="66"/>
      <c r="AA2" s="66"/>
      <c r="AB2" s="66"/>
      <c r="AC2" s="66"/>
      <c r="AD2" s="68" t="e">
        <f ca="1">((AE2*60)*X2*W2)/(Harjoitusalueet!$C$5*3600)*100</f>
        <v>#DIV/0!</v>
      </c>
      <c r="AE2" s="66">
        <f>Y2*Z2*AA2</f>
        <v>0</v>
      </c>
      <c r="AF2" s="66">
        <f>AC2*(Z2-1)+AB2*(Y2-1)</f>
        <v>0</v>
      </c>
      <c r="AG2" s="66">
        <f>V2-AE2-AF2</f>
        <v>0</v>
      </c>
      <c r="AH2" s="66" t="s">
        <v>295</v>
      </c>
      <c r="AI2" s="66"/>
      <c r="AJ2" s="66" t="s">
        <v>296</v>
      </c>
      <c r="AK2" s="66" t="s">
        <v>277</v>
      </c>
    </row>
    <row r="3" spans="1:37" x14ac:dyDescent="0.25">
      <c r="A3" s="67">
        <f t="shared" ref="A3:A29" si="2">A2+7</f>
        <v>44137</v>
      </c>
      <c r="B3" s="58">
        <f t="shared" si="0"/>
        <v>45</v>
      </c>
      <c r="C3" s="58" t="str">
        <f>VLOOKUP(Table16[[#This Row],[Jakso-koodi]],Jaksokoodit,2,FALSE)</f>
        <v>Peruskestävyys</v>
      </c>
      <c r="D3" s="58">
        <v>1</v>
      </c>
      <c r="E3" s="58" t="str">
        <f>VLOOKUP(Table16[[#This Row],[Viikko-koodi]],Viikkokoodit,2,TRUE)</f>
        <v>Kova 2</v>
      </c>
      <c r="F3" s="58">
        <v>1</v>
      </c>
      <c r="G3" s="69" t="s">
        <v>93</v>
      </c>
      <c r="H3" s="66" t="s">
        <v>161</v>
      </c>
      <c r="I3" s="66">
        <v>70</v>
      </c>
      <c r="J3" s="75">
        <v>0.95</v>
      </c>
      <c r="K3" s="60">
        <f ca="1">J3*Harjoitusalueet!$C$5</f>
        <v>0</v>
      </c>
      <c r="L3" s="66">
        <v>1</v>
      </c>
      <c r="M3" s="66">
        <v>3</v>
      </c>
      <c r="N3" s="66">
        <v>10</v>
      </c>
      <c r="O3" s="66"/>
      <c r="P3" s="66">
        <v>2</v>
      </c>
      <c r="Q3" s="68" t="e">
        <f ca="1">((R3*60)*K3*J3)/(Harjoitusalueet!$C$5*3600)*100</f>
        <v>#DIV/0!</v>
      </c>
      <c r="R3" s="66">
        <f t="shared" si="1"/>
        <v>30</v>
      </c>
      <c r="S3" s="66">
        <f>P3*(M3-1)+O3*(L3-1)</f>
        <v>4</v>
      </c>
      <c r="T3" s="110">
        <f t="shared" ref="T3:T29" si="3">I3-R3-S3</f>
        <v>36</v>
      </c>
      <c r="U3" s="66" t="s">
        <v>131</v>
      </c>
      <c r="V3" s="66">
        <v>90</v>
      </c>
      <c r="W3" s="75">
        <v>0.87</v>
      </c>
      <c r="X3" s="66">
        <f ca="1">Harjoitusalueet!D42</f>
        <v>0</v>
      </c>
      <c r="Y3" s="66">
        <v>1</v>
      </c>
      <c r="Z3" s="66">
        <v>2</v>
      </c>
      <c r="AA3" s="66">
        <v>20</v>
      </c>
      <c r="AB3" s="66"/>
      <c r="AC3" s="66">
        <v>5</v>
      </c>
      <c r="AD3" s="68" t="e">
        <f ca="1">((AE3*60)*X3*W3)/(Harjoitusalueet!$C$5*3600)*100</f>
        <v>#DIV/0!</v>
      </c>
      <c r="AE3" s="66">
        <f t="shared" ref="AE3:AE5" si="4">Y3*Z3*AA3</f>
        <v>40</v>
      </c>
      <c r="AF3" s="66">
        <f>AC3*(Z3-1)+AB3*(Y3-1)</f>
        <v>5</v>
      </c>
      <c r="AG3" s="66">
        <f t="shared" ref="AG3:AG29" si="5">V3-AE3-AF3</f>
        <v>45</v>
      </c>
      <c r="AH3" s="66" t="s">
        <v>293</v>
      </c>
      <c r="AI3" s="66" t="s">
        <v>181</v>
      </c>
      <c r="AJ3" s="66" t="s">
        <v>297</v>
      </c>
      <c r="AK3" s="68"/>
    </row>
    <row r="4" spans="1:37" x14ac:dyDescent="0.25">
      <c r="A4" s="65">
        <f t="shared" si="2"/>
        <v>44144</v>
      </c>
      <c r="B4" s="57">
        <f t="shared" si="0"/>
        <v>46</v>
      </c>
      <c r="C4" s="57" t="str">
        <f>VLOOKUP(Table16[[#This Row],[Jakso-koodi]],Jaksokoodit,2,FALSE)</f>
        <v>Peruskestävyys</v>
      </c>
      <c r="D4" s="57">
        <v>1</v>
      </c>
      <c r="E4" s="57" t="str">
        <f>VLOOKUP(Table16[[#This Row],[Viikko-koodi]],Viikkokoodit,2,TRUE)</f>
        <v>Kova 3</v>
      </c>
      <c r="F4" s="57">
        <v>2</v>
      </c>
      <c r="G4" s="61"/>
      <c r="H4" s="66" t="s">
        <v>161</v>
      </c>
      <c r="I4" s="66">
        <v>70</v>
      </c>
      <c r="J4" s="75">
        <v>0.95</v>
      </c>
      <c r="K4" s="60">
        <f ca="1">J4*Harjoitusalueet!$C$5</f>
        <v>0</v>
      </c>
      <c r="L4" s="66">
        <v>1</v>
      </c>
      <c r="M4" s="66">
        <v>3</v>
      </c>
      <c r="N4" s="66">
        <v>10</v>
      </c>
      <c r="O4" s="66"/>
      <c r="P4" s="66">
        <v>2</v>
      </c>
      <c r="Q4" s="68" t="e">
        <f ca="1">((R4*60)*K4*J4)/(Harjoitusalueet!$C$5*3600)*100</f>
        <v>#DIV/0!</v>
      </c>
      <c r="R4" s="66">
        <f t="shared" si="1"/>
        <v>30</v>
      </c>
      <c r="S4" s="66">
        <f>P4*(M4-1)+O4*(L4-1)</f>
        <v>4</v>
      </c>
      <c r="T4" s="110">
        <f t="shared" si="3"/>
        <v>36</v>
      </c>
      <c r="U4" s="66" t="s">
        <v>148</v>
      </c>
      <c r="V4" s="66">
        <v>90</v>
      </c>
      <c r="W4" s="75">
        <v>0.87</v>
      </c>
      <c r="X4" s="66">
        <f ca="1">W4*Harjoitusalueet!$C$5</f>
        <v>0</v>
      </c>
      <c r="Y4" s="66">
        <v>1</v>
      </c>
      <c r="Z4" s="66">
        <v>2</v>
      </c>
      <c r="AA4" s="66">
        <v>20</v>
      </c>
      <c r="AB4" s="66"/>
      <c r="AC4" s="66">
        <v>5</v>
      </c>
      <c r="AD4" s="68" t="e">
        <f ca="1">((AE4*60)*X4*W4)/(Harjoitusalueet!$C$5*3600)*100</f>
        <v>#DIV/0!</v>
      </c>
      <c r="AE4" s="66">
        <f t="shared" si="4"/>
        <v>40</v>
      </c>
      <c r="AF4" s="66">
        <f>AC4*(Z4-1)+AB4*(Y4-1)</f>
        <v>5</v>
      </c>
      <c r="AG4" s="66">
        <f t="shared" si="5"/>
        <v>45</v>
      </c>
      <c r="AH4" s="66" t="s">
        <v>171</v>
      </c>
      <c r="AI4" s="66" t="s">
        <v>181</v>
      </c>
      <c r="AJ4" s="66" t="s">
        <v>301</v>
      </c>
      <c r="AK4" s="66" t="s">
        <v>190</v>
      </c>
    </row>
    <row r="5" spans="1:37" x14ac:dyDescent="0.25">
      <c r="A5" s="67">
        <f t="shared" si="2"/>
        <v>44151</v>
      </c>
      <c r="B5" s="58">
        <f t="shared" si="0"/>
        <v>47</v>
      </c>
      <c r="C5" s="58" t="str">
        <f>VLOOKUP(Table16[[#This Row],[Jakso-koodi]],Jaksokoodit,2,FALSE)</f>
        <v>Peruskestävyys</v>
      </c>
      <c r="D5" s="58">
        <v>1</v>
      </c>
      <c r="E5" s="58" t="str">
        <f>VLOOKUP(Table16[[#This Row],[Viikko-koodi]],Viikkokoodit,2,TRUE)</f>
        <v>Kevyt</v>
      </c>
      <c r="F5" s="58">
        <v>0</v>
      </c>
      <c r="G5" s="69"/>
      <c r="H5" s="68" t="s">
        <v>122</v>
      </c>
      <c r="I5" s="68"/>
      <c r="J5" s="76">
        <v>0.6</v>
      </c>
      <c r="K5" s="60">
        <f ca="1">J5*Harjoitusalueet!$C$5</f>
        <v>0</v>
      </c>
      <c r="L5" s="68"/>
      <c r="M5" s="68"/>
      <c r="N5" s="68"/>
      <c r="O5" s="68"/>
      <c r="P5" s="68"/>
      <c r="Q5" s="68" t="e">
        <f ca="1">((R5*60)*K5*J5)/(Harjoitusalueet!$C$5*3600)*100</f>
        <v>#DIV/0!</v>
      </c>
      <c r="R5" s="66">
        <f t="shared" si="1"/>
        <v>0</v>
      </c>
      <c r="S5" s="66">
        <f t="shared" ref="S5:S29" si="6">P5*(M5-1)+O5*(L5-1)</f>
        <v>0</v>
      </c>
      <c r="T5" s="110">
        <f t="shared" si="3"/>
        <v>0</v>
      </c>
      <c r="U5" s="68" t="s">
        <v>61</v>
      </c>
      <c r="V5" s="68"/>
      <c r="W5" s="76"/>
      <c r="X5" s="66">
        <f ca="1">W5*Harjoitusalueet!$C$5</f>
        <v>0</v>
      </c>
      <c r="Y5" s="68"/>
      <c r="Z5" s="68"/>
      <c r="AA5" s="68"/>
      <c r="AB5" s="68"/>
      <c r="AC5" s="68"/>
      <c r="AD5" s="68" t="e">
        <f ca="1">((AE5*60)*X5*W5)/(Harjoitusalueet!$C$5*3600)*100</f>
        <v>#DIV/0!</v>
      </c>
      <c r="AE5" s="66">
        <f t="shared" si="4"/>
        <v>0</v>
      </c>
      <c r="AF5" s="66">
        <f t="shared" ref="AF5:AF29" si="7">AC5*(Z5-1)+AB5*(Y5-1)</f>
        <v>0</v>
      </c>
      <c r="AG5" s="66">
        <f t="shared" si="5"/>
        <v>0</v>
      </c>
      <c r="AH5" s="68"/>
      <c r="AI5" s="68"/>
      <c r="AJ5" s="68"/>
      <c r="AK5" s="68"/>
    </row>
    <row r="6" spans="1:37" x14ac:dyDescent="0.25">
      <c r="A6" s="65">
        <f t="shared" si="2"/>
        <v>44158</v>
      </c>
      <c r="B6" s="58">
        <f t="shared" si="0"/>
        <v>48</v>
      </c>
      <c r="C6" s="58" t="str">
        <f>VLOOKUP(Table16[[#This Row],[Jakso-koodi]],Jaksokoodit,2,FALSE)</f>
        <v>MK pitkä</v>
      </c>
      <c r="D6" s="58">
        <v>4</v>
      </c>
      <c r="E6" s="58" t="str">
        <f>VLOOKUP(Table16[[#This Row],[Viikko-koodi]],Viikkokoodit,2,TRUE)</f>
        <v>Kova 1</v>
      </c>
      <c r="F6" s="58">
        <v>1</v>
      </c>
      <c r="G6" s="69"/>
      <c r="H6" s="68" t="s">
        <v>163</v>
      </c>
      <c r="I6" s="68">
        <v>90</v>
      </c>
      <c r="J6" s="76" t="e">
        <f ca="1">K6/Harjoitusalueet!$C$5</f>
        <v>#DIV/0!</v>
      </c>
      <c r="K6" s="60">
        <f ca="1">Harjoitusalueet!$D$42</f>
        <v>0</v>
      </c>
      <c r="L6" s="68">
        <v>2</v>
      </c>
      <c r="M6" s="68">
        <v>15</v>
      </c>
      <c r="N6" s="68">
        <v>1</v>
      </c>
      <c r="O6" s="68">
        <v>10</v>
      </c>
      <c r="P6" s="68">
        <v>0.5</v>
      </c>
      <c r="Q6" s="68" t="e">
        <f ca="1">((R6*60)*K6*J6)/(Harjoitusalueet!$C$5*3600)*100</f>
        <v>#DIV/0!</v>
      </c>
      <c r="R6" s="66">
        <f>L6*M6*N6</f>
        <v>30</v>
      </c>
      <c r="S6" s="66">
        <f t="shared" ref="S6:S7" si="8">P6*(M6-1)+O6*(L6-1)</f>
        <v>17</v>
      </c>
      <c r="T6" s="110">
        <f t="shared" ref="T6:T7" si="9">I6-R6-S6</f>
        <v>43</v>
      </c>
      <c r="U6" s="80" t="s">
        <v>298</v>
      </c>
      <c r="V6" s="80">
        <v>100</v>
      </c>
      <c r="W6" s="81" t="e">
        <f ca="1">X6/Harjoitusalueet!$C$5</f>
        <v>#DIV/0!</v>
      </c>
      <c r="X6" s="80">
        <f ca="1">Harjoitusalueet!$D$42</f>
        <v>0</v>
      </c>
      <c r="Y6" s="80">
        <v>1</v>
      </c>
      <c r="Z6" s="80">
        <v>6</v>
      </c>
      <c r="AA6" s="80">
        <v>4</v>
      </c>
      <c r="AB6" s="80"/>
      <c r="AC6" s="80">
        <v>2</v>
      </c>
      <c r="AD6" s="83" t="e">
        <f ca="1">((AE6*60)*X6*W6)/(Harjoitusalueet!$C$5*3600)*100</f>
        <v>#DIV/0!</v>
      </c>
      <c r="AE6" s="80">
        <f t="shared" ref="AE6" si="10">Y6*Z6*AA6</f>
        <v>24</v>
      </c>
      <c r="AF6" s="80">
        <f t="shared" ref="AF6:AF7" si="11">AC6*(Z6-1)+AB6*(Y6-1)</f>
        <v>10</v>
      </c>
      <c r="AG6" s="80">
        <f t="shared" ref="AG6:AG7" si="12">V6-AE6-AF6</f>
        <v>66</v>
      </c>
      <c r="AH6" s="68" t="s">
        <v>177</v>
      </c>
      <c r="AI6" s="68" t="s">
        <v>182</v>
      </c>
      <c r="AJ6" s="68" t="s">
        <v>178</v>
      </c>
      <c r="AK6" s="83" t="s">
        <v>191</v>
      </c>
    </row>
    <row r="7" spans="1:37" x14ac:dyDescent="0.25">
      <c r="A7" s="67">
        <f t="shared" si="2"/>
        <v>44165</v>
      </c>
      <c r="B7" s="70">
        <f t="shared" si="0"/>
        <v>49</v>
      </c>
      <c r="C7" s="70" t="str">
        <f>VLOOKUP(Table16[[#This Row],[Jakso-koodi]],Jaksokoodit,2,FALSE)</f>
        <v>MK pitkä</v>
      </c>
      <c r="D7" s="70">
        <v>4</v>
      </c>
      <c r="E7" s="70" t="str">
        <f>VLOOKUP(Table16[[#This Row],[Viikko-koodi]],Viikkokoodit,2,TRUE)</f>
        <v>Kova 2</v>
      </c>
      <c r="F7" s="70">
        <v>2</v>
      </c>
      <c r="G7" s="71"/>
      <c r="H7" s="97" t="s">
        <v>164</v>
      </c>
      <c r="I7" s="98">
        <v>100</v>
      </c>
      <c r="J7" s="99" t="e">
        <f ca="1">K7/Harjoitusalueet!$C$5</f>
        <v>#DIV/0!</v>
      </c>
      <c r="K7" s="60">
        <f ca="1">Harjoitusalueet!$D$42</f>
        <v>0</v>
      </c>
      <c r="L7" s="97">
        <v>2</v>
      </c>
      <c r="M7" s="97">
        <v>20</v>
      </c>
      <c r="N7" s="97">
        <v>1</v>
      </c>
      <c r="O7" s="97">
        <v>10</v>
      </c>
      <c r="P7" s="97">
        <v>0.5</v>
      </c>
      <c r="Q7" s="100" t="e">
        <f ca="1">((R7*60)*K7*J7)/(Harjoitusalueet!$C$5*3600)*100</f>
        <v>#DIV/0!</v>
      </c>
      <c r="R7" s="97">
        <f t="shared" ref="R7" si="13">L7*M7*N7</f>
        <v>40</v>
      </c>
      <c r="S7" s="97">
        <f t="shared" si="8"/>
        <v>19.5</v>
      </c>
      <c r="T7" s="114">
        <f t="shared" si="9"/>
        <v>40.5</v>
      </c>
      <c r="U7" s="80" t="s">
        <v>167</v>
      </c>
      <c r="V7" s="80">
        <v>100</v>
      </c>
      <c r="W7" s="81" t="e">
        <f ca="1">X7/Harjoitusalueet!$C$5</f>
        <v>#DIV/0!</v>
      </c>
      <c r="X7" s="80">
        <f ca="1">Harjoitusalueet!$D$42</f>
        <v>0</v>
      </c>
      <c r="Y7" s="80">
        <v>1</v>
      </c>
      <c r="Z7" s="80">
        <v>6</v>
      </c>
      <c r="AA7" s="80">
        <v>5</v>
      </c>
      <c r="AB7" s="68"/>
      <c r="AC7" s="68">
        <v>3</v>
      </c>
      <c r="AD7" s="68" t="e">
        <f ca="1">((AE7*60)*X7*W7)/(Harjoitusalueet!$C$5*3600)*100</f>
        <v>#DIV/0!</v>
      </c>
      <c r="AE7" s="66">
        <f>Y7*Z7*AA7</f>
        <v>30</v>
      </c>
      <c r="AF7" s="66">
        <f t="shared" si="11"/>
        <v>15</v>
      </c>
      <c r="AG7" s="66">
        <f t="shared" si="12"/>
        <v>55</v>
      </c>
      <c r="AH7" s="97" t="s">
        <v>254</v>
      </c>
      <c r="AI7" s="97" t="s">
        <v>185</v>
      </c>
      <c r="AJ7" s="68" t="s">
        <v>302</v>
      </c>
      <c r="AK7" s="83" t="s">
        <v>192</v>
      </c>
    </row>
    <row r="8" spans="1:37" x14ac:dyDescent="0.25">
      <c r="A8" s="65">
        <f t="shared" si="2"/>
        <v>44172</v>
      </c>
      <c r="B8" s="57">
        <f t="shared" si="0"/>
        <v>50</v>
      </c>
      <c r="C8" s="57" t="str">
        <f>VLOOKUP(Table16[[#This Row],[Jakso-koodi]],Jaksokoodit,2,FALSE)</f>
        <v>MK pitkä</v>
      </c>
      <c r="D8" s="57">
        <v>1</v>
      </c>
      <c r="E8" s="57" t="str">
        <f>VLOOKUP(Table16[[#This Row],[Viikko-koodi]],Viikkokoodit,2,TRUE)</f>
        <v>Kova 3</v>
      </c>
      <c r="F8" s="57">
        <v>0</v>
      </c>
      <c r="G8" s="61"/>
      <c r="H8" s="68" t="s">
        <v>122</v>
      </c>
      <c r="I8" s="68"/>
      <c r="J8" s="76">
        <v>0.6</v>
      </c>
      <c r="K8" s="60">
        <f ca="1">J8*Harjoitusalueet!$C$5</f>
        <v>0</v>
      </c>
      <c r="L8" s="68"/>
      <c r="M8" s="68"/>
      <c r="N8" s="68"/>
      <c r="O8" s="68"/>
      <c r="P8" s="68"/>
      <c r="Q8" s="68" t="e">
        <f ca="1">((R8*60)*K8*J8)/(Harjoitusalueet!$C$5*3600)*100</f>
        <v>#DIV/0!</v>
      </c>
      <c r="R8" s="66">
        <f t="shared" si="1"/>
        <v>0</v>
      </c>
      <c r="S8" s="66">
        <f t="shared" si="6"/>
        <v>0</v>
      </c>
      <c r="T8" s="110">
        <f t="shared" si="3"/>
        <v>0</v>
      </c>
      <c r="U8" s="68" t="s">
        <v>155</v>
      </c>
      <c r="V8" s="68">
        <v>110</v>
      </c>
      <c r="W8" s="76" t="e">
        <f ca="1">X8/Harjoitusalueet!$C$5</f>
        <v>#DIV/0!</v>
      </c>
      <c r="X8" s="80">
        <f ca="1">Harjoitusalueet!$D$42</f>
        <v>0</v>
      </c>
      <c r="Y8" s="68">
        <v>1</v>
      </c>
      <c r="Z8" s="68">
        <v>6</v>
      </c>
      <c r="AA8" s="68">
        <v>6</v>
      </c>
      <c r="AB8" s="68"/>
      <c r="AC8" s="68">
        <v>3</v>
      </c>
      <c r="AD8" s="68" t="e">
        <f ca="1">((AE8*60)*X8*W8)/(Harjoitusalueet!$C$5*3600)*100</f>
        <v>#DIV/0!</v>
      </c>
      <c r="AE8" s="66">
        <f t="shared" ref="AE8:AE9" si="14">Y8*Z8*AA8</f>
        <v>36</v>
      </c>
      <c r="AF8" s="66">
        <f t="shared" ref="AF8:AF10" si="15">AC8*(Z8-1)+AB8*(Y8-1)</f>
        <v>15</v>
      </c>
      <c r="AG8" s="66">
        <f t="shared" ref="AG8:AG10" si="16">V8-AE8-AF8</f>
        <v>59</v>
      </c>
      <c r="AH8" s="68"/>
      <c r="AI8" s="68"/>
      <c r="AJ8" s="68" t="s">
        <v>179</v>
      </c>
      <c r="AK8" s="83" t="s">
        <v>192</v>
      </c>
    </row>
    <row r="9" spans="1:37" s="49" customFormat="1" ht="16.5" thickBot="1" x14ac:dyDescent="0.3">
      <c r="A9" s="84">
        <f t="shared" si="2"/>
        <v>44179</v>
      </c>
      <c r="B9" s="85">
        <f t="shared" si="0"/>
        <v>51</v>
      </c>
      <c r="C9" s="78" t="str">
        <f>VLOOKUP(Table16[[#This Row],[Jakso-koodi]],Jaksokoodit,2,FALSE)</f>
        <v>MK pitkä</v>
      </c>
      <c r="D9" s="78">
        <v>4</v>
      </c>
      <c r="E9" s="78" t="str">
        <f>VLOOKUP(Table16[[#This Row],[Viikko-koodi]],Viikkokoodit,2,TRUE)</f>
        <v>Kevyt</v>
      </c>
      <c r="F9" s="78">
        <v>1</v>
      </c>
      <c r="G9" s="79"/>
      <c r="H9" s="80" t="s">
        <v>61</v>
      </c>
      <c r="I9" s="80"/>
      <c r="J9" s="81" t="e">
        <f ca="1">K9/Harjoitusalueet!$C$5</f>
        <v>#DIV/0!</v>
      </c>
      <c r="K9" s="82"/>
      <c r="L9" s="80"/>
      <c r="M9" s="80"/>
      <c r="N9" s="80"/>
      <c r="O9" s="80"/>
      <c r="P9" s="80"/>
      <c r="Q9" s="83" t="e">
        <f ca="1">((R9*60)*K9*J9)/(Harjoitusalueet!$C$5*3600)*100</f>
        <v>#DIV/0!</v>
      </c>
      <c r="R9" s="80">
        <f t="shared" ref="R9" si="17">L9*M9*N9</f>
        <v>0</v>
      </c>
      <c r="S9" s="80">
        <f t="shared" ref="S9" si="18">P9*(M9-1)+O9*(L9-1)</f>
        <v>0</v>
      </c>
      <c r="T9" s="112">
        <f t="shared" ref="T9" si="19">I9-R9-S9</f>
        <v>0</v>
      </c>
      <c r="U9" s="80" t="s">
        <v>61</v>
      </c>
      <c r="V9" s="80"/>
      <c r="W9" s="81" t="e">
        <f ca="1">X9/Harjoitusalueet!$C$5</f>
        <v>#DIV/0!</v>
      </c>
      <c r="X9" s="80"/>
      <c r="Y9" s="80"/>
      <c r="Z9" s="80"/>
      <c r="AA9" s="80"/>
      <c r="AB9" s="80"/>
      <c r="AC9" s="80"/>
      <c r="AD9" s="83" t="e">
        <f ca="1">((AE9*60)*X9*W9)/(Harjoitusalueet!$C$5*3600)*100</f>
        <v>#DIV/0!</v>
      </c>
      <c r="AE9" s="80">
        <f t="shared" si="14"/>
        <v>0</v>
      </c>
      <c r="AF9" s="80">
        <f t="shared" si="15"/>
        <v>0</v>
      </c>
      <c r="AG9" s="80">
        <f t="shared" si="16"/>
        <v>0</v>
      </c>
      <c r="AH9" s="80"/>
      <c r="AI9" s="87"/>
      <c r="AJ9" s="87"/>
      <c r="AK9" s="83"/>
    </row>
    <row r="10" spans="1:37" ht="16.5" thickBot="1" x14ac:dyDescent="0.3">
      <c r="A10" s="77">
        <f t="shared" si="2"/>
        <v>44186</v>
      </c>
      <c r="B10" s="78">
        <f t="shared" si="0"/>
        <v>52</v>
      </c>
      <c r="C10" s="78" t="str">
        <f>VLOOKUP(Table16[[#This Row],[Jakso-koodi]],Jaksokoodit,2,FALSE)</f>
        <v>MK pitkä</v>
      </c>
      <c r="D10" s="78">
        <v>4</v>
      </c>
      <c r="E10" s="78" t="str">
        <f>VLOOKUP(Table16[[#This Row],[Viikko-koodi]],Viikkokoodit,2,TRUE)</f>
        <v>Kova 1</v>
      </c>
      <c r="F10" s="78">
        <v>2</v>
      </c>
      <c r="G10" s="71" t="s">
        <v>93</v>
      </c>
      <c r="H10" s="68" t="s">
        <v>163</v>
      </c>
      <c r="I10" s="68">
        <v>90</v>
      </c>
      <c r="J10" s="76" t="e">
        <f ca="1">K10/Harjoitusalueet!$C$5</f>
        <v>#DIV/0!</v>
      </c>
      <c r="K10" s="60">
        <f ca="1">Harjoitusalueet!$D$42</f>
        <v>0</v>
      </c>
      <c r="L10" s="68">
        <v>2</v>
      </c>
      <c r="M10" s="68">
        <v>15</v>
      </c>
      <c r="N10" s="68">
        <v>1</v>
      </c>
      <c r="O10" s="68">
        <v>10</v>
      </c>
      <c r="P10" s="68">
        <v>0.5</v>
      </c>
      <c r="Q10" s="83" t="e">
        <f ca="1">((R10*60)*K10*J10)/(Harjoitusalueet!$C$5*3600)*100</f>
        <v>#DIV/0!</v>
      </c>
      <c r="R10" s="80">
        <f t="shared" si="1"/>
        <v>30</v>
      </c>
      <c r="S10" s="80">
        <f t="shared" si="6"/>
        <v>17</v>
      </c>
      <c r="T10" s="112">
        <f t="shared" si="3"/>
        <v>43</v>
      </c>
      <c r="U10" s="71" t="s">
        <v>93</v>
      </c>
      <c r="V10" s="68">
        <v>110</v>
      </c>
      <c r="W10" s="76" t="e">
        <f ca="1">X10/Harjoitusalueet!$C$5</f>
        <v>#DIV/0!</v>
      </c>
      <c r="X10" s="80">
        <f ca="1">Harjoitusalueet!$D$42</f>
        <v>0</v>
      </c>
      <c r="Y10" s="68">
        <v>1</v>
      </c>
      <c r="Z10" s="68">
        <v>6</v>
      </c>
      <c r="AA10" s="68">
        <v>6</v>
      </c>
      <c r="AB10" s="68"/>
      <c r="AC10" s="68">
        <v>3</v>
      </c>
      <c r="AD10" s="68" t="e">
        <f ca="1">((AE10*60)*X10*W10)/(Harjoitusalueet!$C$5*3600)*100</f>
        <v>#DIV/0!</v>
      </c>
      <c r="AE10" s="66">
        <f>Y10*Z10*AA10</f>
        <v>36</v>
      </c>
      <c r="AF10" s="66">
        <f t="shared" si="15"/>
        <v>15</v>
      </c>
      <c r="AG10" s="66">
        <f t="shared" si="16"/>
        <v>59</v>
      </c>
      <c r="AH10" s="68" t="s">
        <v>299</v>
      </c>
      <c r="AI10" s="68" t="s">
        <v>182</v>
      </c>
      <c r="AJ10" s="80" t="s">
        <v>268</v>
      </c>
      <c r="AK10" s="87" t="s">
        <v>267</v>
      </c>
    </row>
    <row r="11" spans="1:37" x14ac:dyDescent="0.25">
      <c r="A11" s="67">
        <f t="shared" si="2"/>
        <v>44193</v>
      </c>
      <c r="B11" s="58">
        <f t="shared" si="0"/>
        <v>53</v>
      </c>
      <c r="C11" s="58" t="str">
        <f>VLOOKUP(Table16[[#This Row],[Jakso-koodi]],Jaksokoodit,2,FALSE)</f>
        <v>MK pitkä</v>
      </c>
      <c r="D11" s="58">
        <v>4</v>
      </c>
      <c r="E11" s="58" t="str">
        <f>VLOOKUP(Table16[[#This Row],[Viikko-koodi]],Viikkokoodit,2,TRUE)</f>
        <v>Kova 2</v>
      </c>
      <c r="F11" s="58">
        <v>3</v>
      </c>
      <c r="G11" s="96"/>
      <c r="H11" s="97" t="s">
        <v>164</v>
      </c>
      <c r="I11" s="98">
        <v>100</v>
      </c>
      <c r="J11" s="99" t="e">
        <f ca="1">K11/Harjoitusalueet!$C$5</f>
        <v>#DIV/0!</v>
      </c>
      <c r="K11" s="60">
        <f ca="1">Harjoitusalueet!$D$42</f>
        <v>0</v>
      </c>
      <c r="L11" s="97">
        <v>2</v>
      </c>
      <c r="M11" s="97">
        <v>20</v>
      </c>
      <c r="N11" s="97">
        <v>1</v>
      </c>
      <c r="O11" s="97">
        <v>10</v>
      </c>
      <c r="P11" s="97">
        <v>0.5</v>
      </c>
      <c r="Q11" s="68" t="e">
        <f ca="1">((R11*60)*K11*J11)/(Harjoitusalueet!$C$5*3600)*100</f>
        <v>#DIV/0!</v>
      </c>
      <c r="R11" s="66">
        <f>L11*M11*N11</f>
        <v>40</v>
      </c>
      <c r="S11" s="66">
        <f t="shared" si="6"/>
        <v>19.5</v>
      </c>
      <c r="T11" s="110">
        <f t="shared" si="3"/>
        <v>40.5</v>
      </c>
      <c r="U11" s="68" t="s">
        <v>155</v>
      </c>
      <c r="V11" s="68">
        <v>110</v>
      </c>
      <c r="W11" s="76" t="e">
        <f ca="1">X11/Harjoitusalueet!$C$5</f>
        <v>#DIV/0!</v>
      </c>
      <c r="X11" s="80">
        <f ca="1">Harjoitusalueet!$D$42</f>
        <v>0</v>
      </c>
      <c r="Y11" s="68">
        <v>1</v>
      </c>
      <c r="Z11" s="68">
        <v>6</v>
      </c>
      <c r="AA11" s="68">
        <v>6</v>
      </c>
      <c r="AB11" s="68"/>
      <c r="AC11" s="68">
        <v>3</v>
      </c>
      <c r="AD11" s="68" t="e">
        <f ca="1">((AE11*60)*X11*W11)/(Harjoitusalueet!$C$5*3600)*100</f>
        <v>#DIV/0!</v>
      </c>
      <c r="AE11" s="66">
        <f>Y11*Z11*AA11</f>
        <v>36</v>
      </c>
      <c r="AF11" s="66">
        <f t="shared" si="7"/>
        <v>15</v>
      </c>
      <c r="AG11" s="66">
        <f t="shared" si="5"/>
        <v>59</v>
      </c>
      <c r="AH11" s="97" t="s">
        <v>254</v>
      </c>
      <c r="AI11" s="97" t="s">
        <v>185</v>
      </c>
      <c r="AJ11" s="68" t="s">
        <v>300</v>
      </c>
      <c r="AK11" s="83" t="s">
        <v>192</v>
      </c>
    </row>
    <row r="12" spans="1:37" x14ac:dyDescent="0.25">
      <c r="A12" s="65">
        <f t="shared" si="2"/>
        <v>44200</v>
      </c>
      <c r="B12" s="57">
        <f t="shared" si="0"/>
        <v>1</v>
      </c>
      <c r="C12" s="57" t="str">
        <f>VLOOKUP(Table16[[#This Row],[Jakso-koodi]],Jaksokoodit,2,FALSE)</f>
        <v>MK pitkä</v>
      </c>
      <c r="D12" s="57">
        <v>4</v>
      </c>
      <c r="E12" s="57" t="str">
        <f>VLOOKUP(Table16[[#This Row],[Viikko-koodi]],Viikkokoodit,2,TRUE)</f>
        <v>Kova 3</v>
      </c>
      <c r="F12" s="57">
        <v>0</v>
      </c>
      <c r="G12" s="61"/>
      <c r="H12" s="66" t="s">
        <v>122</v>
      </c>
      <c r="I12" s="66"/>
      <c r="J12" s="75">
        <v>0.6</v>
      </c>
      <c r="K12" s="60">
        <f ca="1">J12*Harjoitusalueet!$C$5</f>
        <v>0</v>
      </c>
      <c r="L12" s="66"/>
      <c r="M12" s="66"/>
      <c r="N12" s="66"/>
      <c r="O12" s="66"/>
      <c r="P12" s="66"/>
      <c r="Q12" s="68" t="e">
        <f ca="1">((R12*60)*K12*J12)/(Harjoitusalueet!$C$5*3600)*100</f>
        <v>#DIV/0!</v>
      </c>
      <c r="R12" s="66">
        <f t="shared" ref="R12:R29" si="20">L12*M12*N12</f>
        <v>0</v>
      </c>
      <c r="S12" s="66">
        <f t="shared" si="6"/>
        <v>0</v>
      </c>
      <c r="T12" s="110">
        <f t="shared" si="3"/>
        <v>0</v>
      </c>
      <c r="U12" s="68" t="s">
        <v>168</v>
      </c>
      <c r="V12" s="68">
        <v>110</v>
      </c>
      <c r="W12" s="76" t="e">
        <f ca="1">X12/Harjoitusalueet!$C$5</f>
        <v>#DIV/0!</v>
      </c>
      <c r="X12" s="80">
        <f ca="1">Harjoitusalueet!$D$42</f>
        <v>0</v>
      </c>
      <c r="Y12" s="68">
        <v>1</v>
      </c>
      <c r="Z12" s="68">
        <v>6</v>
      </c>
      <c r="AA12" s="68">
        <v>7</v>
      </c>
      <c r="AB12" s="68"/>
      <c r="AC12" s="68"/>
      <c r="AD12" s="68" t="e">
        <f ca="1">((AE12*60)*X12*W12)/(Harjoitusalueet!$C$5*3600)*100</f>
        <v>#DIV/0!</v>
      </c>
      <c r="AE12" s="66">
        <f t="shared" ref="AE12" si="21">Y12*Z12*AA12</f>
        <v>42</v>
      </c>
      <c r="AF12" s="66">
        <f t="shared" ref="AF12" si="22">AC12*(Z12-1)+AB12*(Y12-1)</f>
        <v>0</v>
      </c>
      <c r="AG12" s="66">
        <f t="shared" ref="AG12" si="23">V12-AE12-AF12</f>
        <v>68</v>
      </c>
      <c r="AH12" s="68"/>
      <c r="AI12" s="68"/>
      <c r="AJ12" s="68" t="s">
        <v>179</v>
      </c>
      <c r="AK12" s="83" t="s">
        <v>192</v>
      </c>
    </row>
    <row r="13" spans="1:37" x14ac:dyDescent="0.25">
      <c r="A13" s="91">
        <f t="shared" si="2"/>
        <v>44207</v>
      </c>
      <c r="B13" s="70">
        <f t="shared" si="0"/>
        <v>2</v>
      </c>
      <c r="C13" s="70" t="str">
        <f>VLOOKUP(Table16[[#This Row],[Jakso-koodi]],Jaksokoodit,2,FALSE)</f>
        <v>MK pitkä</v>
      </c>
      <c r="D13" s="70">
        <v>4</v>
      </c>
      <c r="E13" s="70" t="str">
        <f>VLOOKUP(Table16[[#This Row],[Viikko-koodi]],Viikkokoodit,2,TRUE)</f>
        <v>Kevyt</v>
      </c>
      <c r="F13" s="70">
        <v>1</v>
      </c>
      <c r="G13" s="79"/>
      <c r="H13" s="66" t="s">
        <v>122</v>
      </c>
      <c r="I13" s="73">
        <v>90</v>
      </c>
      <c r="J13" s="92">
        <v>0.6</v>
      </c>
      <c r="K13" s="60">
        <f ca="1">J13*Harjoitusalueet!$C$5</f>
        <v>0</v>
      </c>
      <c r="L13" s="72">
        <v>1</v>
      </c>
      <c r="M13" s="72">
        <v>1</v>
      </c>
      <c r="N13" s="72">
        <v>5</v>
      </c>
      <c r="O13" s="72"/>
      <c r="P13" s="72"/>
      <c r="Q13" s="72" t="e">
        <f ca="1">((R13*60)*K13*J13)/(Harjoitusalueet!$C$5*3600)*100</f>
        <v>#DIV/0!</v>
      </c>
      <c r="R13" s="94">
        <f t="shared" si="20"/>
        <v>5</v>
      </c>
      <c r="S13" s="94">
        <f t="shared" si="6"/>
        <v>0</v>
      </c>
      <c r="T13" s="113">
        <f t="shared" si="3"/>
        <v>85</v>
      </c>
      <c r="U13" s="72" t="s">
        <v>61</v>
      </c>
      <c r="V13" s="73">
        <v>110</v>
      </c>
      <c r="W13" s="92" t="e">
        <f ca="1">X13/Harjoitusalueet!$C$5</f>
        <v>#DIV/0!</v>
      </c>
      <c r="X13" s="66"/>
      <c r="Y13" s="72">
        <v>1</v>
      </c>
      <c r="Z13" s="72">
        <v>6</v>
      </c>
      <c r="AA13" s="72">
        <v>6</v>
      </c>
      <c r="AB13" s="72"/>
      <c r="AC13" s="72">
        <v>3</v>
      </c>
      <c r="AD13" s="72" t="e">
        <f ca="1">((AE13*60)*X13*W13)/(Harjoitusalueet!$C$5*3600)*100</f>
        <v>#DIV/0!</v>
      </c>
      <c r="AE13" s="94">
        <f t="shared" ref="AE13:AE29" si="24">Y13*Z13*AA13</f>
        <v>36</v>
      </c>
      <c r="AF13" s="94">
        <f t="shared" si="7"/>
        <v>15</v>
      </c>
      <c r="AG13" s="94">
        <f t="shared" si="5"/>
        <v>59</v>
      </c>
      <c r="AH13" s="80"/>
      <c r="AI13" s="97"/>
      <c r="AJ13" s="72"/>
      <c r="AK13" s="83"/>
    </row>
    <row r="14" spans="1:37" s="101" customFormat="1" x14ac:dyDescent="0.25">
      <c r="A14" s="95">
        <f t="shared" si="2"/>
        <v>44214</v>
      </c>
      <c r="B14" s="96">
        <f t="shared" si="0"/>
        <v>3</v>
      </c>
      <c r="C14" s="96" t="str">
        <f>VLOOKUP(Table16[[#This Row],[Jakso-koodi]],Jaksokoodit,2,FALSE)</f>
        <v>MK lyhyt</v>
      </c>
      <c r="D14" s="96">
        <v>4</v>
      </c>
      <c r="E14" s="96" t="str">
        <f>VLOOKUP(Table16[[#This Row],[Viikko-koodi]],Viikkokoodit,2,TRUE)</f>
        <v>Kova 1</v>
      </c>
      <c r="F14" s="96">
        <v>2</v>
      </c>
      <c r="G14" s="61" t="s">
        <v>94</v>
      </c>
      <c r="H14" s="80" t="s">
        <v>303</v>
      </c>
      <c r="I14" s="82">
        <v>110</v>
      </c>
      <c r="J14" s="81" t="e">
        <f ca="1">K14/Harjoitusalueet!$C$5</f>
        <v>#DIV/0!</v>
      </c>
      <c r="K14" s="82" t="e">
        <f ca="1">Harjoitusalueet!$M$11</f>
        <v>#DIV/0!</v>
      </c>
      <c r="L14" s="80">
        <v>3</v>
      </c>
      <c r="M14" s="80">
        <v>10</v>
      </c>
      <c r="N14" s="80">
        <f>40/60</f>
        <v>0.66666666666666663</v>
      </c>
      <c r="O14" s="80">
        <v>5</v>
      </c>
      <c r="P14" s="80">
        <f>20/60</f>
        <v>0.33333333333333331</v>
      </c>
      <c r="Q14" s="100" t="e">
        <f ca="1">((R14*60)*K14*J14)/(Harjoitusalueet!$C$5*3600)*100</f>
        <v>#DIV/0!</v>
      </c>
      <c r="R14" s="97">
        <f t="shared" si="20"/>
        <v>20</v>
      </c>
      <c r="S14" s="97">
        <f t="shared" si="6"/>
        <v>13</v>
      </c>
      <c r="T14" s="114">
        <f t="shared" si="3"/>
        <v>77</v>
      </c>
      <c r="U14" s="72" t="s">
        <v>183</v>
      </c>
      <c r="V14" s="98">
        <v>120</v>
      </c>
      <c r="W14" s="99" t="e">
        <f ca="1">X14/Harjoitusalueet!$C$5</f>
        <v>#DIV/0!</v>
      </c>
      <c r="X14" s="66">
        <f ca="1">Harjoitusalueet!D27</f>
        <v>0</v>
      </c>
      <c r="Y14" s="97">
        <v>1</v>
      </c>
      <c r="Z14" s="97">
        <v>6</v>
      </c>
      <c r="AA14" s="97">
        <v>7</v>
      </c>
      <c r="AB14" s="97"/>
      <c r="AC14" s="97">
        <v>3</v>
      </c>
      <c r="AD14" s="100" t="e">
        <f ca="1">((AE14*60)*X14*W14)/(Harjoitusalueet!$C$5*3600)*100</f>
        <v>#DIV/0!</v>
      </c>
      <c r="AE14" s="97">
        <f t="shared" si="24"/>
        <v>42</v>
      </c>
      <c r="AF14" s="97">
        <f t="shared" si="7"/>
        <v>15</v>
      </c>
      <c r="AG14" s="97">
        <f t="shared" si="5"/>
        <v>63</v>
      </c>
      <c r="AH14" s="80" t="s">
        <v>174</v>
      </c>
      <c r="AI14" s="80" t="s">
        <v>186</v>
      </c>
      <c r="AJ14" s="80" t="s">
        <v>269</v>
      </c>
      <c r="AK14" s="97" t="s">
        <v>184</v>
      </c>
    </row>
    <row r="15" spans="1:37" s="49" customFormat="1" ht="16.5" thickBot="1" x14ac:dyDescent="0.3">
      <c r="A15" s="102">
        <f t="shared" si="2"/>
        <v>44221</v>
      </c>
      <c r="B15" s="103">
        <f t="shared" si="0"/>
        <v>4</v>
      </c>
      <c r="C15" s="103" t="str">
        <f>VLOOKUP(Table16[[#This Row],[Jakso-koodi]],Jaksokoodit,2,FALSE)</f>
        <v>MK lyhyt</v>
      </c>
      <c r="D15" s="103">
        <v>4</v>
      </c>
      <c r="E15" s="103" t="str">
        <f>VLOOKUP(Table16[[#This Row],[Viikko-koodi]],Viikkokoodit,2,TRUE)</f>
        <v>Kova 2</v>
      </c>
      <c r="F15" s="103">
        <v>0</v>
      </c>
      <c r="G15" s="104"/>
      <c r="H15" s="80" t="s">
        <v>165</v>
      </c>
      <c r="I15" s="82">
        <v>110</v>
      </c>
      <c r="J15" s="81" t="e">
        <f ca="1">K15/Harjoitusalueet!$C$5</f>
        <v>#DIV/0!</v>
      </c>
      <c r="K15" s="82" t="e">
        <f ca="1">Harjoitusalueet!$M$11</f>
        <v>#DIV/0!</v>
      </c>
      <c r="L15" s="80">
        <v>3</v>
      </c>
      <c r="M15" s="80">
        <v>10</v>
      </c>
      <c r="N15" s="80">
        <f>40/60</f>
        <v>0.66666666666666663</v>
      </c>
      <c r="O15" s="80">
        <v>5</v>
      </c>
      <c r="P15" s="80">
        <f>20/60</f>
        <v>0.33333333333333331</v>
      </c>
      <c r="Q15" s="105" t="e">
        <f ca="1">((R15*60)*K15*J15)/(Harjoitusalueet!$C$5*3600)*100</f>
        <v>#DIV/0!</v>
      </c>
      <c r="R15" s="108">
        <f t="shared" si="20"/>
        <v>20</v>
      </c>
      <c r="S15" s="108">
        <f t="shared" si="6"/>
        <v>13</v>
      </c>
      <c r="T15" s="115">
        <f t="shared" si="3"/>
        <v>77</v>
      </c>
      <c r="U15" s="68" t="s">
        <v>305</v>
      </c>
      <c r="V15" s="68"/>
      <c r="W15" s="76"/>
      <c r="X15" s="66" t="e">
        <f ca="1">Harjoitusalueet!M11</f>
        <v>#DIV/0!</v>
      </c>
      <c r="Y15" s="68"/>
      <c r="Z15" s="68"/>
      <c r="AA15" s="68"/>
      <c r="AB15" s="68"/>
      <c r="AC15" s="68"/>
      <c r="AD15" s="68" t="e">
        <f ca="1">((AE15*60)*X15*W15)/(Harjoitusalueet!$C$5*3600)*100</f>
        <v>#DIV/0!</v>
      </c>
      <c r="AE15" s="66">
        <f t="shared" si="24"/>
        <v>0</v>
      </c>
      <c r="AF15" s="66">
        <f t="shared" ref="AF15" si="25">AC15*(Z15-1)+AB15*(Y15-1)</f>
        <v>0</v>
      </c>
      <c r="AG15" s="66">
        <f t="shared" ref="AG15" si="26">V15-AE15-AF15</f>
        <v>0</v>
      </c>
      <c r="AH15" s="68" t="s">
        <v>304</v>
      </c>
      <c r="AI15" s="80" t="s">
        <v>186</v>
      </c>
      <c r="AJ15" s="68" t="s">
        <v>306</v>
      </c>
      <c r="AK15" s="68" t="s">
        <v>267</v>
      </c>
    </row>
    <row r="16" spans="1:37" ht="16.5" thickBot="1" x14ac:dyDescent="0.3">
      <c r="A16" s="77">
        <f t="shared" si="2"/>
        <v>44228</v>
      </c>
      <c r="B16" s="78">
        <f t="shared" si="0"/>
        <v>5</v>
      </c>
      <c r="C16" s="78" t="str">
        <f>VLOOKUP(Table16[[#This Row],[Jakso-koodi]],Jaksokoodit,2,FALSE)</f>
        <v>MK lyhyt</v>
      </c>
      <c r="D16" s="78">
        <v>5</v>
      </c>
      <c r="E16" s="78" t="str">
        <f>VLOOKUP(Table16[[#This Row],[Viikko-koodi]],Viikkokoodit,2,TRUE)</f>
        <v>Kova 1</v>
      </c>
      <c r="F16" s="78">
        <v>1</v>
      </c>
      <c r="G16" s="61" t="s">
        <v>15</v>
      </c>
      <c r="H16" s="105" t="s">
        <v>122</v>
      </c>
      <c r="I16" s="105"/>
      <c r="J16" s="106">
        <v>0.6</v>
      </c>
      <c r="K16" s="107">
        <f ca="1">J16*Harjoitusalueet!$C$5</f>
        <v>0</v>
      </c>
      <c r="L16" s="105"/>
      <c r="M16" s="105"/>
      <c r="N16" s="105"/>
      <c r="O16" s="105"/>
      <c r="P16" s="105"/>
      <c r="Q16" s="83" t="e">
        <f ca="1">((R16*60)*K16*J16)/(Harjoitusalueet!$C$5*3600)*100</f>
        <v>#DIV/0!</v>
      </c>
      <c r="R16" s="80">
        <f t="shared" si="20"/>
        <v>0</v>
      </c>
      <c r="S16" s="80">
        <f t="shared" si="6"/>
        <v>0</v>
      </c>
      <c r="T16" s="112">
        <f t="shared" si="3"/>
        <v>0</v>
      </c>
      <c r="U16" s="97" t="s">
        <v>307</v>
      </c>
      <c r="V16" s="82">
        <v>110</v>
      </c>
      <c r="W16" s="75" t="e">
        <f ca="1">X16/Harjoitusalueet!$C$5</f>
        <v>#DIV/0!</v>
      </c>
      <c r="X16" s="66" t="e">
        <f ca="1">Harjoitusalueet!$M$11</f>
        <v>#DIV/0!</v>
      </c>
      <c r="Y16" s="80"/>
      <c r="Z16" s="80"/>
      <c r="AA16" s="116"/>
      <c r="AB16" s="80"/>
      <c r="AC16" s="116"/>
      <c r="AD16" s="83" t="e">
        <f ca="1">((AE16*60)*X16*W16)/(Harjoitusalueet!$C$5*3600)*100</f>
        <v>#DIV/0!</v>
      </c>
      <c r="AE16" s="80">
        <f t="shared" si="24"/>
        <v>0</v>
      </c>
      <c r="AF16" s="80">
        <f t="shared" si="7"/>
        <v>0</v>
      </c>
      <c r="AG16" s="80">
        <f t="shared" si="5"/>
        <v>110</v>
      </c>
      <c r="AH16" s="80" t="s">
        <v>308</v>
      </c>
      <c r="AI16" s="80" t="s">
        <v>186</v>
      </c>
      <c r="AJ16" s="66" t="s">
        <v>310</v>
      </c>
      <c r="AK16" s="83" t="s">
        <v>309</v>
      </c>
    </row>
    <row r="17" spans="1:37" x14ac:dyDescent="0.25">
      <c r="A17" s="67">
        <f t="shared" si="2"/>
        <v>44235</v>
      </c>
      <c r="B17" s="58">
        <f t="shared" si="0"/>
        <v>6</v>
      </c>
      <c r="C17" s="58" t="str">
        <f>VLOOKUP(Table16[[#This Row],[Jakso-koodi]],Jaksokoodit,2,FALSE)</f>
        <v>Anaerobinen kynnys</v>
      </c>
      <c r="D17" s="58">
        <v>5</v>
      </c>
      <c r="E17" s="58" t="str">
        <f>VLOOKUP(Table16[[#This Row],[Viikko-koodi]],Viikkokoodit,2,TRUE)</f>
        <v>Kova 1</v>
      </c>
      <c r="F17" s="58">
        <v>0</v>
      </c>
      <c r="G17" s="61"/>
      <c r="H17" s="66" t="s">
        <v>255</v>
      </c>
      <c r="I17" s="66"/>
      <c r="J17" s="81" t="e">
        <f ca="1">K17/Harjoitusalueet!$C$5</f>
        <v>#DIV/0!</v>
      </c>
      <c r="K17" s="80">
        <f ca="1">Harjoitusalueet!$C$5</f>
        <v>0</v>
      </c>
      <c r="L17" s="66">
        <v>1</v>
      </c>
      <c r="M17" s="66">
        <v>4</v>
      </c>
      <c r="N17" s="66">
        <v>8</v>
      </c>
      <c r="O17" s="66"/>
      <c r="P17" s="66">
        <v>2</v>
      </c>
      <c r="Q17" s="68" t="e">
        <f ca="1">((R17*60)*K17*J17)/(Harjoitusalueet!$C$5*3600)*100</f>
        <v>#DIV/0!</v>
      </c>
      <c r="R17" s="66">
        <f t="shared" si="20"/>
        <v>32</v>
      </c>
      <c r="S17" s="66">
        <f t="shared" si="6"/>
        <v>6</v>
      </c>
      <c r="T17" s="110">
        <f t="shared" si="3"/>
        <v>-38</v>
      </c>
      <c r="U17" s="66" t="s">
        <v>248</v>
      </c>
      <c r="V17" s="66"/>
      <c r="W17" s="75" t="e">
        <f ca="1">X17/Harjoitusalueet!$C$5</f>
        <v>#DIV/0!</v>
      </c>
      <c r="X17" s="66">
        <f ca="1">Harjoitusalueet!$D$62*0.98</f>
        <v>0</v>
      </c>
      <c r="Y17" s="66"/>
      <c r="Z17" s="66"/>
      <c r="AA17" s="66"/>
      <c r="AB17" s="66"/>
      <c r="AC17" s="66"/>
      <c r="AD17" s="68" t="e">
        <f ca="1">((AE17*60)*X17*W17)/(Harjoitusalueet!$C$5*3600)*100</f>
        <v>#DIV/0!</v>
      </c>
      <c r="AE17" s="66">
        <f t="shared" si="24"/>
        <v>0</v>
      </c>
      <c r="AF17" s="66">
        <f t="shared" ref="AF17" si="27">AC17*(Z17-1)+AB17*(Y17-1)</f>
        <v>0</v>
      </c>
      <c r="AG17" s="66">
        <f t="shared" ref="AG17" si="28">V17-AE17-AF17</f>
        <v>0</v>
      </c>
      <c r="AH17" s="66" t="s">
        <v>263</v>
      </c>
      <c r="AI17" s="66" t="s">
        <v>264</v>
      </c>
      <c r="AJ17" s="66" t="s">
        <v>257</v>
      </c>
      <c r="AK17" s="66" t="s">
        <v>258</v>
      </c>
    </row>
    <row r="18" spans="1:37" ht="16.5" thickBot="1" x14ac:dyDescent="0.3">
      <c r="A18" s="65">
        <f t="shared" si="2"/>
        <v>44242</v>
      </c>
      <c r="B18" s="57">
        <f t="shared" si="0"/>
        <v>7</v>
      </c>
      <c r="C18" s="57" t="str">
        <f>VLOOKUP(Table16[[#This Row],[Jakso-koodi]],Jaksokoodit,2,FALSE)</f>
        <v>Anaerobinen kynnys</v>
      </c>
      <c r="D18" s="57">
        <v>5</v>
      </c>
      <c r="E18" s="57" t="str">
        <f>VLOOKUP(Table16[[#This Row],[Viikko-koodi]],Viikkokoodit,2,TRUE)</f>
        <v>Kova 2</v>
      </c>
      <c r="F18" s="57">
        <v>1</v>
      </c>
      <c r="G18" s="61"/>
      <c r="H18" s="66" t="s">
        <v>252</v>
      </c>
      <c r="I18" s="87"/>
      <c r="J18" s="81" t="e">
        <f ca="1">K18/Harjoitusalueet!$C$5</f>
        <v>#DIV/0!</v>
      </c>
      <c r="K18" s="80">
        <f ca="1">Harjoitusalueet!$C$5</f>
        <v>0</v>
      </c>
      <c r="L18" s="87">
        <v>1</v>
      </c>
      <c r="M18" s="87">
        <v>4</v>
      </c>
      <c r="N18" s="87">
        <v>10</v>
      </c>
      <c r="O18" s="87"/>
      <c r="P18" s="87">
        <v>2</v>
      </c>
      <c r="Q18" s="68" t="e">
        <f ca="1">((R18*60)*K18*J18)/(Harjoitusalueet!$C$5*3600)*100</f>
        <v>#DIV/0!</v>
      </c>
      <c r="R18" s="66">
        <f t="shared" si="20"/>
        <v>40</v>
      </c>
      <c r="S18" s="66">
        <f t="shared" si="6"/>
        <v>6</v>
      </c>
      <c r="T18" s="110">
        <f t="shared" si="3"/>
        <v>-46</v>
      </c>
      <c r="U18" s="87" t="s">
        <v>249</v>
      </c>
      <c r="V18" s="87"/>
      <c r="W18" s="75" t="e">
        <f ca="1">X18/Harjoitusalueet!$C$5</f>
        <v>#DIV/0!</v>
      </c>
      <c r="X18" s="66">
        <f ca="1">Harjoitusalueet!$D$62*0.98</f>
        <v>0</v>
      </c>
      <c r="Y18" s="87"/>
      <c r="Z18" s="87"/>
      <c r="AA18" s="87"/>
      <c r="AB18" s="87"/>
      <c r="AC18" s="87"/>
      <c r="AD18" s="68" t="e">
        <f ca="1">((AE18*60)*X18*W18)/(Harjoitusalueet!$C$5*3600)*100</f>
        <v>#DIV/0!</v>
      </c>
      <c r="AE18" s="66">
        <f t="shared" si="24"/>
        <v>0</v>
      </c>
      <c r="AF18" s="66">
        <f t="shared" si="7"/>
        <v>0</v>
      </c>
      <c r="AG18" s="66">
        <f t="shared" si="5"/>
        <v>0</v>
      </c>
      <c r="AH18" s="87" t="s">
        <v>265</v>
      </c>
      <c r="AI18" s="87"/>
      <c r="AJ18" s="87" t="s">
        <v>261</v>
      </c>
      <c r="AK18" s="66" t="s">
        <v>258</v>
      </c>
    </row>
    <row r="19" spans="1:37" s="49" customFormat="1" ht="16.5" thickBot="1" x14ac:dyDescent="0.3">
      <c r="A19" s="84">
        <f t="shared" si="2"/>
        <v>44249</v>
      </c>
      <c r="B19" s="85">
        <f t="shared" si="0"/>
        <v>8</v>
      </c>
      <c r="C19" s="85" t="str">
        <f>VLOOKUP(Table16[[#This Row],[Jakso-koodi]],Jaksokoodit,2,FALSE)</f>
        <v>Anaerobinen kynnys</v>
      </c>
      <c r="D19" s="85">
        <v>5</v>
      </c>
      <c r="E19" s="85" t="str">
        <f>VLOOKUP(Table16[[#This Row],[Viikko-koodi]],Viikkokoodit,2,TRUE)</f>
        <v>Kevyt</v>
      </c>
      <c r="F19" s="85">
        <v>2</v>
      </c>
      <c r="G19" s="86"/>
      <c r="H19" s="68" t="s">
        <v>122</v>
      </c>
      <c r="I19" s="68"/>
      <c r="J19" s="76">
        <v>0.6</v>
      </c>
      <c r="K19" s="60">
        <f ca="1">J19*Harjoitusalueet!$C$5</f>
        <v>0</v>
      </c>
      <c r="L19" s="68"/>
      <c r="M19" s="68"/>
      <c r="N19" s="68"/>
      <c r="O19" s="68"/>
      <c r="P19" s="68"/>
      <c r="Q19" s="87" t="e">
        <f ca="1">((R19*60)*K19*J19)/(Harjoitusalueet!$C$5*3600)*100</f>
        <v>#DIV/0!</v>
      </c>
      <c r="R19" s="90">
        <f t="shared" si="20"/>
        <v>0</v>
      </c>
      <c r="S19" s="90">
        <f t="shared" si="6"/>
        <v>0</v>
      </c>
      <c r="T19" s="111">
        <f t="shared" si="3"/>
        <v>0</v>
      </c>
      <c r="U19" s="87" t="s">
        <v>61</v>
      </c>
      <c r="V19" s="87"/>
      <c r="W19" s="75" t="e">
        <f ca="1">X19/Harjoitusalueet!$C$5</f>
        <v>#DIV/0!</v>
      </c>
      <c r="X19" s="66"/>
      <c r="Y19" s="87"/>
      <c r="Z19" s="87"/>
      <c r="AA19" s="87"/>
      <c r="AB19" s="87"/>
      <c r="AC19" s="87"/>
      <c r="AD19" s="87" t="e">
        <f ca="1">((AE19*60)*X19*W19)/(Harjoitusalueet!$C$5*3600)*100</f>
        <v>#DIV/0!</v>
      </c>
      <c r="AE19" s="90">
        <f t="shared" si="24"/>
        <v>0</v>
      </c>
      <c r="AF19" s="90">
        <f t="shared" si="7"/>
        <v>0</v>
      </c>
      <c r="AG19" s="90">
        <f t="shared" si="5"/>
        <v>0</v>
      </c>
      <c r="AH19" s="87"/>
      <c r="AI19" s="87"/>
      <c r="AJ19" s="87"/>
      <c r="AK19" s="66"/>
    </row>
    <row r="20" spans="1:37" x14ac:dyDescent="0.25">
      <c r="A20" s="77">
        <f t="shared" si="2"/>
        <v>44256</v>
      </c>
      <c r="B20" s="78">
        <f t="shared" si="0"/>
        <v>9</v>
      </c>
      <c r="C20" s="78" t="str">
        <f>VLOOKUP(Table16[[#This Row],[Jakso-koodi]],Jaksokoodit,2,FALSE)</f>
        <v>Anaerobinen kynnys</v>
      </c>
      <c r="D20" s="78">
        <v>3</v>
      </c>
      <c r="E20" s="78" t="str">
        <f>VLOOKUP(Table16[[#This Row],[Viikko-koodi]],Viikkokoodit,2,TRUE)</f>
        <v>Kova 1</v>
      </c>
      <c r="F20" s="78">
        <v>0</v>
      </c>
      <c r="G20" s="79"/>
      <c r="H20" s="68" t="s">
        <v>162</v>
      </c>
      <c r="I20" s="68">
        <v>90</v>
      </c>
      <c r="J20" s="76" t="e">
        <f ca="1">K20/Harjoitusalueet!$C$5</f>
        <v>#DIV/0!</v>
      </c>
      <c r="K20" s="80">
        <f ca="1">Harjoitusalueet!$C$5</f>
        <v>0</v>
      </c>
      <c r="L20" s="68">
        <v>1</v>
      </c>
      <c r="M20" s="68">
        <v>4</v>
      </c>
      <c r="N20" s="68">
        <v>10</v>
      </c>
      <c r="O20" s="68"/>
      <c r="P20" s="68">
        <v>2</v>
      </c>
      <c r="Q20" s="83" t="e">
        <f ca="1">((R20*60)*K20*J20)/(Harjoitusalueet!$C$5*3600)*100</f>
        <v>#DIV/0!</v>
      </c>
      <c r="R20" s="80">
        <f t="shared" si="20"/>
        <v>40</v>
      </c>
      <c r="S20" s="80">
        <f t="shared" si="6"/>
        <v>6</v>
      </c>
      <c r="T20" s="112">
        <f t="shared" si="3"/>
        <v>44</v>
      </c>
      <c r="U20" s="68" t="s">
        <v>248</v>
      </c>
      <c r="V20" s="68">
        <v>110</v>
      </c>
      <c r="W20" s="76" t="e">
        <f ca="1">X20/Harjoitusalueet!$C$5</f>
        <v>#DIV/0!</v>
      </c>
      <c r="X20" s="66">
        <f ca="1">Harjoitusalueet!$D$62</f>
        <v>0</v>
      </c>
      <c r="Y20" s="68">
        <v>1</v>
      </c>
      <c r="Z20" s="68">
        <v>6</v>
      </c>
      <c r="AA20" s="68">
        <v>10</v>
      </c>
      <c r="AB20" s="68">
        <v>0</v>
      </c>
      <c r="AC20" s="68">
        <v>3</v>
      </c>
      <c r="AD20" s="68" t="e">
        <f ca="1">((AE20*60)*X20*W20)/(Harjoitusalueet!$C$5*3600)*100</f>
        <v>#DIV/0!</v>
      </c>
      <c r="AE20" s="66">
        <f t="shared" si="24"/>
        <v>60</v>
      </c>
      <c r="AF20" s="66">
        <f t="shared" ref="AF20" si="29">AC20*(Z20-1)+AB20*(Y20-1)</f>
        <v>15</v>
      </c>
      <c r="AG20" s="66">
        <f t="shared" ref="AG20" si="30">V20-AE20-AF20</f>
        <v>35</v>
      </c>
      <c r="AH20" s="68" t="s">
        <v>266</v>
      </c>
      <c r="AI20" s="80" t="s">
        <v>187</v>
      </c>
      <c r="AJ20" s="68" t="s">
        <v>259</v>
      </c>
      <c r="AK20" s="66" t="s">
        <v>258</v>
      </c>
    </row>
    <row r="21" spans="1:37" ht="16.5" thickBot="1" x14ac:dyDescent="0.3">
      <c r="A21" s="67">
        <f t="shared" si="2"/>
        <v>44263</v>
      </c>
      <c r="B21" s="58">
        <f t="shared" si="0"/>
        <v>10</v>
      </c>
      <c r="C21" s="58" t="str">
        <f>VLOOKUP(Table16[[#This Row],[Jakso-koodi]],Jaksokoodit,2,FALSE)</f>
        <v>Anaerobinen kynnys</v>
      </c>
      <c r="D21" s="58">
        <v>3</v>
      </c>
      <c r="E21" s="58" t="str">
        <f>VLOOKUP(Table16[[#This Row],[Viikko-koodi]],Viikkokoodit,2,TRUE)</f>
        <v>Kova 2</v>
      </c>
      <c r="F21" s="58">
        <v>1</v>
      </c>
      <c r="G21" s="69"/>
      <c r="H21" s="68" t="s">
        <v>256</v>
      </c>
      <c r="I21" s="68"/>
      <c r="J21" s="76" t="e">
        <f ca="1">K21/Harjoitusalueet!$C$5</f>
        <v>#DIV/0!</v>
      </c>
      <c r="K21" s="80">
        <f ca="1">Harjoitusalueet!$C$5</f>
        <v>0</v>
      </c>
      <c r="L21" s="66">
        <v>1</v>
      </c>
      <c r="M21" s="66">
        <v>4</v>
      </c>
      <c r="N21" s="66">
        <v>12</v>
      </c>
      <c r="O21" s="66"/>
      <c r="P21" s="66">
        <v>2</v>
      </c>
      <c r="Q21" s="68" t="e">
        <f ca="1">((R21*60)*K21*J21)/(Harjoitusalueet!$C$5*3600)*100</f>
        <v>#DIV/0!</v>
      </c>
      <c r="R21" s="66">
        <f t="shared" si="20"/>
        <v>48</v>
      </c>
      <c r="S21" s="66">
        <f t="shared" si="6"/>
        <v>6</v>
      </c>
      <c r="T21" s="110">
        <f t="shared" si="3"/>
        <v>-54</v>
      </c>
      <c r="U21" s="66" t="s">
        <v>249</v>
      </c>
      <c r="V21" s="66"/>
      <c r="W21" s="75" t="e">
        <f ca="1">X21/Harjoitusalueet!$C$5</f>
        <v>#DIV/0!</v>
      </c>
      <c r="X21" s="66">
        <f ca="1">Harjoitusalueet!$D$62</f>
        <v>0</v>
      </c>
      <c r="Y21" s="66"/>
      <c r="Z21" s="66"/>
      <c r="AA21" s="66"/>
      <c r="AB21" s="66"/>
      <c r="AC21" s="66"/>
      <c r="AD21" s="68" t="e">
        <f ca="1">((AE21*60)*X21*W21)/(Harjoitusalueet!$C$5*3600)*100</f>
        <v>#DIV/0!</v>
      </c>
      <c r="AE21" s="66">
        <f t="shared" si="24"/>
        <v>0</v>
      </c>
      <c r="AF21" s="66">
        <f t="shared" si="7"/>
        <v>0</v>
      </c>
      <c r="AG21" s="66">
        <f t="shared" si="5"/>
        <v>0</v>
      </c>
      <c r="AH21" s="87" t="s">
        <v>265</v>
      </c>
      <c r="AI21" s="80" t="s">
        <v>187</v>
      </c>
      <c r="AJ21" s="87" t="s">
        <v>260</v>
      </c>
      <c r="AK21" s="66" t="s">
        <v>258</v>
      </c>
    </row>
    <row r="22" spans="1:37" ht="16.5" thickBot="1" x14ac:dyDescent="0.3">
      <c r="A22" s="65">
        <f t="shared" si="2"/>
        <v>44270</v>
      </c>
      <c r="B22" s="57">
        <f t="shared" si="0"/>
        <v>11</v>
      </c>
      <c r="C22" s="57" t="str">
        <f>VLOOKUP(Table16[[#This Row],[Jakso-koodi]],Jaksokoodit,2,FALSE)</f>
        <v>Anaerobinen kynnys</v>
      </c>
      <c r="D22" s="57">
        <v>3</v>
      </c>
      <c r="E22" s="57" t="str">
        <f>VLOOKUP(Table16[[#This Row],[Viikko-koodi]],Viikkokoodit,2,TRUE)</f>
        <v>Kova 1</v>
      </c>
      <c r="F22" s="57">
        <v>2</v>
      </c>
      <c r="G22" s="61" t="s">
        <v>16</v>
      </c>
      <c r="H22" s="68" t="s">
        <v>122</v>
      </c>
      <c r="I22" s="68"/>
      <c r="J22" s="76">
        <v>0.6</v>
      </c>
      <c r="K22" s="60">
        <f ca="1">J22*Harjoitusalueet!$C$5</f>
        <v>0</v>
      </c>
      <c r="L22" s="68"/>
      <c r="M22" s="68"/>
      <c r="N22" s="68"/>
      <c r="O22" s="68"/>
      <c r="P22" s="68"/>
      <c r="Q22" s="68" t="e">
        <f ca="1">((R22*60)*K22*J22)/(Harjoitusalueet!$C$5*3600)*100</f>
        <v>#DIV/0!</v>
      </c>
      <c r="R22" s="66">
        <f t="shared" si="20"/>
        <v>0</v>
      </c>
      <c r="S22" s="66">
        <f t="shared" si="6"/>
        <v>0</v>
      </c>
      <c r="T22" s="110">
        <f t="shared" si="3"/>
        <v>0</v>
      </c>
      <c r="U22" s="61" t="s">
        <v>16</v>
      </c>
      <c r="V22" s="66">
        <v>130</v>
      </c>
      <c r="W22" s="75">
        <v>0.95</v>
      </c>
      <c r="X22" s="66" t="e">
        <f ca="1">Harjoitusalueet!M13</f>
        <v>#DIV/0!</v>
      </c>
      <c r="Y22" s="66">
        <v>1</v>
      </c>
      <c r="Z22" s="66">
        <v>3</v>
      </c>
      <c r="AA22" s="66">
        <v>20</v>
      </c>
      <c r="AB22" s="66">
        <v>0</v>
      </c>
      <c r="AC22" s="66">
        <v>5</v>
      </c>
      <c r="AD22" s="68" t="e">
        <f ca="1">((AE22*60)*X22*W22)/(Harjoitusalueet!$C$5*3600)*100</f>
        <v>#DIV/0!</v>
      </c>
      <c r="AE22" s="66">
        <f t="shared" si="24"/>
        <v>60</v>
      </c>
      <c r="AF22" s="66">
        <f t="shared" si="7"/>
        <v>10</v>
      </c>
      <c r="AG22" s="66">
        <f t="shared" si="5"/>
        <v>60</v>
      </c>
      <c r="AH22" s="87" t="s">
        <v>311</v>
      </c>
      <c r="AI22" s="80"/>
      <c r="AJ22" s="66" t="s">
        <v>270</v>
      </c>
      <c r="AK22" s="66" t="s">
        <v>201</v>
      </c>
    </row>
    <row r="23" spans="1:37" ht="16.5" thickBot="1" x14ac:dyDescent="0.3">
      <c r="A23" s="67">
        <f t="shared" si="2"/>
        <v>44277</v>
      </c>
      <c r="B23" s="58">
        <f t="shared" si="0"/>
        <v>12</v>
      </c>
      <c r="C23" s="58" t="str">
        <f>VLOOKUP(Table16[[#This Row],[Jakso-koodi]],Jaksokoodit,2,FALSE)</f>
        <v>Vauhtikestävyys</v>
      </c>
      <c r="D23" s="58">
        <v>3</v>
      </c>
      <c r="E23" s="58" t="str">
        <f>VLOOKUP(Table16[[#This Row],[Viikko-koodi]],Viikkokoodit,2,TRUE)</f>
        <v>Kova 1</v>
      </c>
      <c r="F23" s="58">
        <v>3</v>
      </c>
      <c r="G23" s="69"/>
      <c r="H23" s="68" t="s">
        <v>122</v>
      </c>
      <c r="I23" s="68"/>
      <c r="J23" s="76">
        <v>0.6</v>
      </c>
      <c r="K23" s="60">
        <f ca="1">J23*Harjoitusalueet!$C$5</f>
        <v>0</v>
      </c>
      <c r="L23" s="68"/>
      <c r="M23" s="68"/>
      <c r="N23" s="68"/>
      <c r="O23" s="68"/>
      <c r="P23" s="68"/>
      <c r="Q23" s="68" t="e">
        <f ca="1">((R23*60)*K23*J23)/(Harjoitusalueet!$C$5*3600)*100</f>
        <v>#DIV/0!</v>
      </c>
      <c r="R23" s="66">
        <f t="shared" si="20"/>
        <v>0</v>
      </c>
      <c r="S23" s="66">
        <f t="shared" si="6"/>
        <v>0</v>
      </c>
      <c r="T23" s="110">
        <f t="shared" si="3"/>
        <v>0</v>
      </c>
      <c r="U23" s="68" t="s">
        <v>320</v>
      </c>
      <c r="V23" s="68">
        <v>120</v>
      </c>
      <c r="W23" s="75" t="e">
        <f ca="1">X23/Harjoitusalueet!$C$5</f>
        <v>#DIV/0!</v>
      </c>
      <c r="X23" s="66">
        <f ca="1">0.95*Harjoitusalueet!C5</f>
        <v>0</v>
      </c>
      <c r="Y23" s="68">
        <v>1</v>
      </c>
      <c r="Z23" s="68">
        <v>3</v>
      </c>
      <c r="AA23" s="68">
        <v>20</v>
      </c>
      <c r="AB23" s="68">
        <v>0</v>
      </c>
      <c r="AC23" s="68">
        <v>5</v>
      </c>
      <c r="AD23" s="68" t="e">
        <f ca="1">((AE23*60)*X23*W23)/(Harjoitusalueet!$C$5*3600)*100</f>
        <v>#DIV/0!</v>
      </c>
      <c r="AE23" s="66">
        <f t="shared" si="24"/>
        <v>60</v>
      </c>
      <c r="AF23" s="66">
        <f t="shared" si="7"/>
        <v>10</v>
      </c>
      <c r="AG23" s="66">
        <f t="shared" si="5"/>
        <v>50</v>
      </c>
      <c r="AH23" s="87" t="s">
        <v>312</v>
      </c>
      <c r="AI23" s="80"/>
      <c r="AJ23" s="87" t="s">
        <v>180</v>
      </c>
      <c r="AK23" s="66" t="s">
        <v>319</v>
      </c>
    </row>
    <row r="24" spans="1:37" x14ac:dyDescent="0.25">
      <c r="A24" s="65">
        <f t="shared" si="2"/>
        <v>44284</v>
      </c>
      <c r="B24" s="57">
        <f t="shared" si="0"/>
        <v>13</v>
      </c>
      <c r="C24" s="57" t="str">
        <f>VLOOKUP(Table16[[#This Row],[Jakso-koodi]],Jaksokoodit,2,FALSE)</f>
        <v>Vauhtikestävyys</v>
      </c>
      <c r="D24" s="57">
        <v>3</v>
      </c>
      <c r="E24" s="57" t="str">
        <f>VLOOKUP(Table16[[#This Row],[Viikko-koodi]],Viikkokoodit,2,TRUE)</f>
        <v>Kova 2</v>
      </c>
      <c r="F24" s="57">
        <v>0</v>
      </c>
      <c r="G24" s="61"/>
      <c r="H24" s="80" t="s">
        <v>166</v>
      </c>
      <c r="I24" s="80">
        <v>100</v>
      </c>
      <c r="J24" s="81" t="e">
        <f ca="1">K24/Harjoitusalueet!$C$5</f>
        <v>#DIV/0!</v>
      </c>
      <c r="K24" s="82">
        <f ca="1">0.95*Harjoitusalueet!$C$5</f>
        <v>0</v>
      </c>
      <c r="L24" s="80">
        <v>1</v>
      </c>
      <c r="M24" s="80">
        <v>3</v>
      </c>
      <c r="N24" s="80">
        <v>20</v>
      </c>
      <c r="O24" s="80"/>
      <c r="P24" s="80">
        <v>5</v>
      </c>
      <c r="Q24" s="68" t="e">
        <f ca="1">((R24*60)*K24*J24)/(Harjoitusalueet!$C$5*3600)*100</f>
        <v>#DIV/0!</v>
      </c>
      <c r="R24" s="66">
        <f t="shared" si="20"/>
        <v>60</v>
      </c>
      <c r="S24" s="66">
        <f t="shared" si="6"/>
        <v>10</v>
      </c>
      <c r="T24" s="110">
        <f t="shared" si="3"/>
        <v>30</v>
      </c>
      <c r="U24" s="61" t="s">
        <v>322</v>
      </c>
      <c r="V24" s="66">
        <v>130</v>
      </c>
      <c r="W24" s="75" t="e">
        <f ca="1">X24/Harjoitusalueet!$C$5</f>
        <v>#DIV/0!</v>
      </c>
      <c r="X24" s="66">
        <f ca="1">0.9*Harjoitusalueet!C5</f>
        <v>0</v>
      </c>
      <c r="Y24" s="66">
        <v>1</v>
      </c>
      <c r="Z24" s="66">
        <v>3</v>
      </c>
      <c r="AA24" s="66">
        <v>20</v>
      </c>
      <c r="AB24" s="66">
        <v>0</v>
      </c>
      <c r="AC24" s="66">
        <v>5</v>
      </c>
      <c r="AD24" s="68" t="e">
        <f ca="1">((AE24*60)*X24*W24)/(Harjoitusalueet!$C$5*3600)*100</f>
        <v>#DIV/0!</v>
      </c>
      <c r="AE24" s="66">
        <f t="shared" si="24"/>
        <v>60</v>
      </c>
      <c r="AF24" s="66">
        <f t="shared" si="7"/>
        <v>10</v>
      </c>
      <c r="AG24" s="66">
        <f t="shared" si="5"/>
        <v>60</v>
      </c>
      <c r="AH24" s="66" t="s">
        <v>313</v>
      </c>
      <c r="AI24" s="66" t="s">
        <v>314</v>
      </c>
      <c r="AJ24" s="80" t="s">
        <v>180</v>
      </c>
      <c r="AK24" s="80" t="s">
        <v>193</v>
      </c>
    </row>
    <row r="25" spans="1:37" s="49" customFormat="1" ht="16.5" thickBot="1" x14ac:dyDescent="0.3">
      <c r="A25" s="84">
        <f t="shared" si="2"/>
        <v>44291</v>
      </c>
      <c r="B25" s="85">
        <f t="shared" si="0"/>
        <v>14</v>
      </c>
      <c r="C25" s="85" t="str">
        <f>VLOOKUP(Table16[[#This Row],[Jakso-koodi]],Jaksokoodit,2,FALSE)</f>
        <v>Vauhtikestävyys</v>
      </c>
      <c r="D25" s="85">
        <v>3</v>
      </c>
      <c r="E25" s="85" t="str">
        <f>VLOOKUP(Table16[[#This Row],[Viikko-koodi]],Viikkokoodit,2,TRUE)</f>
        <v>Kevyt</v>
      </c>
      <c r="F25" s="85">
        <v>0</v>
      </c>
      <c r="G25" s="86"/>
      <c r="H25" s="87" t="s">
        <v>122</v>
      </c>
      <c r="I25" s="87"/>
      <c r="J25" s="88">
        <v>0.6</v>
      </c>
      <c r="K25" s="89">
        <f ca="1">J25*Harjoitusalueet!$C$5</f>
        <v>0</v>
      </c>
      <c r="L25" s="87"/>
      <c r="M25" s="87"/>
      <c r="N25" s="87"/>
      <c r="O25" s="87"/>
      <c r="P25" s="87"/>
      <c r="Q25" s="87" t="e">
        <f ca="1">((R25*60)*K25*J25)/(Harjoitusalueet!$C$5*3600)*100</f>
        <v>#DIV/0!</v>
      </c>
      <c r="R25" s="90">
        <f t="shared" si="20"/>
        <v>0</v>
      </c>
      <c r="S25" s="90">
        <f t="shared" si="6"/>
        <v>0</v>
      </c>
      <c r="T25" s="111">
        <f t="shared" si="3"/>
        <v>0</v>
      </c>
      <c r="U25" s="87" t="s">
        <v>61</v>
      </c>
      <c r="V25" s="87"/>
      <c r="W25" s="88"/>
      <c r="X25" s="90">
        <f ca="1">W25*Harjoitusalueet!$C$5</f>
        <v>0</v>
      </c>
      <c r="Y25" s="87"/>
      <c r="Z25" s="87"/>
      <c r="AA25" s="87"/>
      <c r="AB25" s="87"/>
      <c r="AC25" s="87"/>
      <c r="AD25" s="87" t="e">
        <f ca="1">((AE25*60)*X25*W25)/(Harjoitusalueet!$C$5*3600)*100</f>
        <v>#DIV/0!</v>
      </c>
      <c r="AE25" s="90">
        <f t="shared" si="24"/>
        <v>0</v>
      </c>
      <c r="AF25" s="90">
        <f t="shared" si="7"/>
        <v>0</v>
      </c>
      <c r="AG25" s="90">
        <f t="shared" si="5"/>
        <v>0</v>
      </c>
      <c r="AH25" s="87"/>
      <c r="AI25" s="87"/>
      <c r="AJ25" s="87"/>
      <c r="AK25" s="87"/>
    </row>
    <row r="26" spans="1:37" x14ac:dyDescent="0.25">
      <c r="A26" s="77">
        <f t="shared" si="2"/>
        <v>44298</v>
      </c>
      <c r="B26" s="78">
        <f t="shared" si="0"/>
        <v>15</v>
      </c>
      <c r="C26" s="78" t="str">
        <f>VLOOKUP(Table16[[#This Row],[Jakso-koodi]],Jaksokoodit,2,FALSE)</f>
        <v>Vauhtikestävyys</v>
      </c>
      <c r="D26" s="78">
        <v>2</v>
      </c>
      <c r="E26" s="78" t="str">
        <f>VLOOKUP(Table16[[#This Row],[Viikko-koodi]],Viikkokoodit,2,TRUE)</f>
        <v>Kova 1</v>
      </c>
      <c r="F26" s="78">
        <v>1</v>
      </c>
      <c r="G26" s="79"/>
      <c r="H26" s="80" t="s">
        <v>253</v>
      </c>
      <c r="I26" s="80">
        <v>100</v>
      </c>
      <c r="J26" s="81" t="e">
        <f ca="1">K26/Harjoitusalueet!$C$5</f>
        <v>#DIV/0!</v>
      </c>
      <c r="K26" s="82">
        <f ca="1">Table2[[#Totals],[Keskiteho]]</f>
        <v>0</v>
      </c>
      <c r="L26" s="80">
        <v>1</v>
      </c>
      <c r="M26" s="80">
        <v>4</v>
      </c>
      <c r="N26" s="80">
        <v>20</v>
      </c>
      <c r="O26" s="80"/>
      <c r="P26" s="80">
        <v>5</v>
      </c>
      <c r="Q26" s="83" t="e">
        <f ca="1">((R26*60)*K26*J26)/(Harjoitusalueet!$C$5*3600)*100</f>
        <v>#DIV/0!</v>
      </c>
      <c r="R26" s="80">
        <f t="shared" si="20"/>
        <v>80</v>
      </c>
      <c r="S26" s="80">
        <f t="shared" si="6"/>
        <v>15</v>
      </c>
      <c r="T26" s="112">
        <f t="shared" si="3"/>
        <v>5</v>
      </c>
      <c r="U26" s="80" t="s">
        <v>321</v>
      </c>
      <c r="V26" s="80">
        <v>120</v>
      </c>
      <c r="W26" s="81" t="e">
        <f ca="1">X26/Harjoitusalueet!$C$5</f>
        <v>#DIV/0!</v>
      </c>
      <c r="X26" s="80">
        <f ca="1">0.9*Harjoitusalueet!$C$5</f>
        <v>0</v>
      </c>
      <c r="Y26" s="80">
        <v>1</v>
      </c>
      <c r="Z26" s="80">
        <v>5</v>
      </c>
      <c r="AA26" s="80">
        <v>15</v>
      </c>
      <c r="AB26" s="80">
        <v>0</v>
      </c>
      <c r="AC26" s="80">
        <v>5</v>
      </c>
      <c r="AD26" s="83" t="e">
        <f ca="1">((AE26*60)*X26*W26)/(Harjoitusalueet!$C$5*3600)*100</f>
        <v>#DIV/0!</v>
      </c>
      <c r="AE26" s="80">
        <f t="shared" si="24"/>
        <v>75</v>
      </c>
      <c r="AF26" s="80">
        <f t="shared" si="7"/>
        <v>20</v>
      </c>
      <c r="AG26" s="80">
        <f t="shared" si="5"/>
        <v>25</v>
      </c>
      <c r="AH26" s="80" t="s">
        <v>315</v>
      </c>
      <c r="AI26" s="66" t="s">
        <v>314</v>
      </c>
      <c r="AJ26" s="80" t="s">
        <v>323</v>
      </c>
      <c r="AK26" s="80" t="s">
        <v>193</v>
      </c>
    </row>
    <row r="27" spans="1:37" x14ac:dyDescent="0.25">
      <c r="A27" s="67">
        <f t="shared" si="2"/>
        <v>44305</v>
      </c>
      <c r="B27" s="58">
        <f t="shared" si="0"/>
        <v>16</v>
      </c>
      <c r="C27" s="58" t="str">
        <f>VLOOKUP(Table16[[#This Row],[Jakso-koodi]],Jaksokoodit,2,FALSE)</f>
        <v>Vauhtikestävyys</v>
      </c>
      <c r="D27" s="58">
        <v>2</v>
      </c>
      <c r="E27" s="58" t="str">
        <f>VLOOKUP(Table16[[#This Row],[Viikko-koodi]],Viikkokoodit,2,TRUE)</f>
        <v>Kova 1</v>
      </c>
      <c r="F27" s="58">
        <v>2</v>
      </c>
      <c r="G27" s="69" t="s">
        <v>150</v>
      </c>
      <c r="H27" s="68" t="s">
        <v>148</v>
      </c>
      <c r="I27" s="68">
        <v>80</v>
      </c>
      <c r="J27" s="76">
        <v>1</v>
      </c>
      <c r="K27" s="82">
        <f ca="1">0.85*Harjoitusalueet!$C$5</f>
        <v>0</v>
      </c>
      <c r="L27" s="68">
        <v>1</v>
      </c>
      <c r="M27" s="68">
        <v>2</v>
      </c>
      <c r="N27" s="68">
        <v>20</v>
      </c>
      <c r="O27" s="68"/>
      <c r="P27" s="68">
        <v>5</v>
      </c>
      <c r="Q27" s="68" t="e">
        <f ca="1">((R27*60)*K27*J27)/(Harjoitusalueet!$C$5*3600)*100</f>
        <v>#DIV/0!</v>
      </c>
      <c r="R27" s="66">
        <f t="shared" si="20"/>
        <v>40</v>
      </c>
      <c r="S27" s="66">
        <f t="shared" si="6"/>
        <v>5</v>
      </c>
      <c r="T27" s="110">
        <f t="shared" si="3"/>
        <v>35</v>
      </c>
      <c r="U27" s="66" t="s">
        <v>150</v>
      </c>
      <c r="V27" s="68">
        <v>90</v>
      </c>
      <c r="W27" s="76" t="e">
        <f ca="1">X27/Harjoitusalueet!$C$5</f>
        <v>#DIV/0!</v>
      </c>
      <c r="X27" s="66">
        <f ca="1">Table2[[#Totals],[Keskiteho]]</f>
        <v>0</v>
      </c>
      <c r="Y27" s="68">
        <v>1</v>
      </c>
      <c r="Z27" s="68">
        <v>3</v>
      </c>
      <c r="AA27" s="68">
        <v>15</v>
      </c>
      <c r="AB27" s="68">
        <v>0</v>
      </c>
      <c r="AC27" s="68">
        <v>2</v>
      </c>
      <c r="AD27" s="68" t="e">
        <f ca="1">((AE27*60)*X27*W27)/(Harjoitusalueet!$C$5*3600)*100</f>
        <v>#DIV/0!</v>
      </c>
      <c r="AE27" s="66">
        <f t="shared" si="24"/>
        <v>45</v>
      </c>
      <c r="AF27" s="66">
        <f t="shared" si="7"/>
        <v>4</v>
      </c>
      <c r="AG27" s="66">
        <f t="shared" si="5"/>
        <v>41</v>
      </c>
      <c r="AH27" s="68" t="s">
        <v>316</v>
      </c>
      <c r="AI27" s="66" t="s">
        <v>314</v>
      </c>
      <c r="AJ27" s="66" t="s">
        <v>262</v>
      </c>
      <c r="AK27" s="66" t="s">
        <v>194</v>
      </c>
    </row>
    <row r="28" spans="1:37" x14ac:dyDescent="0.25">
      <c r="A28" s="65">
        <f t="shared" si="2"/>
        <v>44312</v>
      </c>
      <c r="B28" s="57">
        <f t="shared" si="0"/>
        <v>17</v>
      </c>
      <c r="C28" s="57" t="str">
        <f>VLOOKUP(Table16[[#This Row],[Jakso-koodi]],Jaksokoodit,2,FALSE)</f>
        <v>Vauhtikestävyys</v>
      </c>
      <c r="D28" s="57">
        <v>2</v>
      </c>
      <c r="E28" s="57" t="str">
        <f>VLOOKUP(Table16[[#This Row],[Viikko-koodi]],Viikkokoodit,2,TRUE)</f>
        <v>Kova 1</v>
      </c>
      <c r="F28" s="57">
        <v>0</v>
      </c>
      <c r="G28" s="61"/>
      <c r="H28" s="66" t="s">
        <v>122</v>
      </c>
      <c r="I28" s="66"/>
      <c r="J28" s="75" t="e">
        <f ca="1">K28/Harjoitusalueet!$C$5</f>
        <v>#DIV/0!</v>
      </c>
      <c r="K28" s="82">
        <f ca="1">Harjoitusalueet!C5</f>
        <v>0</v>
      </c>
      <c r="L28" s="66">
        <v>1</v>
      </c>
      <c r="M28" s="66">
        <v>4</v>
      </c>
      <c r="N28" s="66">
        <v>8</v>
      </c>
      <c r="O28" s="66"/>
      <c r="P28" s="66">
        <v>2</v>
      </c>
      <c r="Q28" s="68" t="e">
        <f ca="1">((R28*60)*K28*J28)/(Harjoitusalueet!$C$5*3600)*100</f>
        <v>#DIV/0!</v>
      </c>
      <c r="R28" s="66">
        <f t="shared" si="20"/>
        <v>32</v>
      </c>
      <c r="S28" s="66">
        <f t="shared" si="6"/>
        <v>6</v>
      </c>
      <c r="T28" s="110">
        <f t="shared" si="3"/>
        <v>-38</v>
      </c>
      <c r="U28" s="66" t="s">
        <v>255</v>
      </c>
      <c r="V28" s="66"/>
      <c r="W28" s="76" t="e">
        <f ca="1">X28/Harjoitusalueet!$C$5</f>
        <v>#DIV/0!</v>
      </c>
      <c r="X28" s="82">
        <f ca="1">Harjoitusalueet!C5</f>
        <v>0</v>
      </c>
      <c r="Y28" s="66"/>
      <c r="Z28" s="66">
        <v>4</v>
      </c>
      <c r="AA28" s="66">
        <v>8</v>
      </c>
      <c r="AB28" s="66"/>
      <c r="AC28" s="66">
        <v>2</v>
      </c>
      <c r="AD28" s="68" t="e">
        <f ca="1">((AE28*60)*X28*W28)/(Harjoitusalueet!$C$5*3600)*100</f>
        <v>#DIV/0!</v>
      </c>
      <c r="AE28" s="66">
        <f t="shared" si="24"/>
        <v>0</v>
      </c>
      <c r="AF28" s="66">
        <f t="shared" si="7"/>
        <v>6</v>
      </c>
      <c r="AG28" s="66">
        <f t="shared" si="5"/>
        <v>-6</v>
      </c>
      <c r="AH28" s="66" t="s">
        <v>312</v>
      </c>
      <c r="AI28" s="66"/>
      <c r="AJ28" s="66" t="s">
        <v>318</v>
      </c>
      <c r="AK28" s="66" t="s">
        <v>258</v>
      </c>
    </row>
    <row r="29" spans="1:37" s="49" customFormat="1" ht="16.5" thickBot="1" x14ac:dyDescent="0.3">
      <c r="A29" s="84">
        <f t="shared" si="2"/>
        <v>44319</v>
      </c>
      <c r="B29" s="85">
        <f t="shared" si="0"/>
        <v>18</v>
      </c>
      <c r="C29" s="85" t="str">
        <f>VLOOKUP(Table16[[#This Row],[Jakso-koodi]],Jaksokoodit,2,FALSE)</f>
        <v>Vauhtikestävyys</v>
      </c>
      <c r="D29" s="85">
        <v>2</v>
      </c>
      <c r="E29" s="85" t="str">
        <f>VLOOKUP(Table16[[#This Row],[Viikko-koodi]],Viikkokoodit,2,TRUE)</f>
        <v>Kova 2</v>
      </c>
      <c r="F29" s="85">
        <v>0</v>
      </c>
      <c r="G29" s="86"/>
      <c r="H29" s="66" t="s">
        <v>252</v>
      </c>
      <c r="I29" s="66"/>
      <c r="J29" s="75" t="e">
        <f ca="1">K29/Harjoitusalueet!$C$5</f>
        <v>#DIV/0!</v>
      </c>
      <c r="K29" s="82">
        <f ca="1">Harjoitusalueet!C5</f>
        <v>0</v>
      </c>
      <c r="L29" s="66">
        <v>1</v>
      </c>
      <c r="M29" s="66">
        <v>4</v>
      </c>
      <c r="N29" s="66">
        <v>10</v>
      </c>
      <c r="O29" s="66"/>
      <c r="P29" s="66">
        <v>2</v>
      </c>
      <c r="Q29" s="87" t="e">
        <f ca="1">((R29*60)*K29*J29)/(Harjoitusalueet!$C$5*3600)*100</f>
        <v>#DIV/0!</v>
      </c>
      <c r="R29" s="90">
        <f t="shared" si="20"/>
        <v>40</v>
      </c>
      <c r="S29" s="90">
        <f t="shared" si="6"/>
        <v>6</v>
      </c>
      <c r="T29" s="111">
        <f t="shared" si="3"/>
        <v>-46</v>
      </c>
      <c r="U29" s="87" t="s">
        <v>61</v>
      </c>
      <c r="V29" s="87"/>
      <c r="W29" s="88"/>
      <c r="X29" s="90">
        <f ca="1">W29*Harjoitusalueet!$C$5</f>
        <v>0</v>
      </c>
      <c r="Y29" s="87"/>
      <c r="Z29" s="87"/>
      <c r="AA29" s="87"/>
      <c r="AB29" s="87"/>
      <c r="AC29" s="87"/>
      <c r="AD29" s="87" t="e">
        <f ca="1">((AE29*60)*X29*W29)/(Harjoitusalueet!$C$5*3600)*100</f>
        <v>#DIV/0!</v>
      </c>
      <c r="AE29" s="90">
        <f t="shared" si="24"/>
        <v>0</v>
      </c>
      <c r="AF29" s="90">
        <f t="shared" si="7"/>
        <v>0</v>
      </c>
      <c r="AG29" s="90">
        <f t="shared" si="5"/>
        <v>0</v>
      </c>
      <c r="AH29" s="66" t="s">
        <v>317</v>
      </c>
      <c r="AI29" s="66" t="s">
        <v>314</v>
      </c>
      <c r="AJ29" s="87"/>
      <c r="AK29" s="87"/>
    </row>
    <row r="31" spans="1:37" x14ac:dyDescent="0.25">
      <c r="T31"/>
    </row>
    <row r="32" spans="1:37" x14ac:dyDescent="0.25">
      <c r="T32"/>
    </row>
    <row r="33" spans="20:20" x14ac:dyDescent="0.25">
      <c r="T33"/>
    </row>
    <row r="34" spans="20:20" x14ac:dyDescent="0.25">
      <c r="T34"/>
    </row>
    <row r="35" spans="20:20" x14ac:dyDescent="0.25">
      <c r="T35"/>
    </row>
    <row r="36" spans="20:20" x14ac:dyDescent="0.25">
      <c r="T36"/>
    </row>
    <row r="37" spans="20:20" x14ac:dyDescent="0.25">
      <c r="T37"/>
    </row>
    <row r="38" spans="20:20" x14ac:dyDescent="0.25">
      <c r="T38"/>
    </row>
    <row r="39" spans="20:20" x14ac:dyDescent="0.25">
      <c r="T39"/>
    </row>
    <row r="40" spans="20:20" x14ac:dyDescent="0.25">
      <c r="T40"/>
    </row>
    <row r="41" spans="20:20" x14ac:dyDescent="0.25">
      <c r="T41"/>
    </row>
    <row r="42" spans="20:20" x14ac:dyDescent="0.25">
      <c r="T42"/>
    </row>
    <row r="43" spans="20:20" x14ac:dyDescent="0.25">
      <c r="T43"/>
    </row>
    <row r="44" spans="20:20" x14ac:dyDescent="0.25">
      <c r="T44"/>
    </row>
    <row r="45" spans="20:20" x14ac:dyDescent="0.25">
      <c r="T45"/>
    </row>
    <row r="46" spans="20:20" x14ac:dyDescent="0.25">
      <c r="T46"/>
    </row>
    <row r="47" spans="20:20" x14ac:dyDescent="0.25">
      <c r="T47"/>
    </row>
    <row r="48" spans="20:20" x14ac:dyDescent="0.25">
      <c r="T48"/>
    </row>
    <row r="49" spans="20:20" x14ac:dyDescent="0.25">
      <c r="T49"/>
    </row>
    <row r="50" spans="20:20" x14ac:dyDescent="0.25">
      <c r="T50"/>
    </row>
    <row r="51" spans="20:20" x14ac:dyDescent="0.25">
      <c r="T51"/>
    </row>
    <row r="52" spans="20:20" x14ac:dyDescent="0.25">
      <c r="T52"/>
    </row>
    <row r="53" spans="20:20" x14ac:dyDescent="0.25">
      <c r="T53"/>
    </row>
    <row r="54" spans="20:20" x14ac:dyDescent="0.25">
      <c r="T54"/>
    </row>
    <row r="55" spans="20:20" x14ac:dyDescent="0.25">
      <c r="T55"/>
    </row>
    <row r="56" spans="20:20" x14ac:dyDescent="0.25">
      <c r="T56"/>
    </row>
    <row r="57" spans="20:20" x14ac:dyDescent="0.25">
      <c r="T57"/>
    </row>
    <row r="58" spans="20:20" x14ac:dyDescent="0.25">
      <c r="T58"/>
    </row>
    <row r="59" spans="20:20" x14ac:dyDescent="0.25">
      <c r="T59"/>
    </row>
  </sheetData>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L53"/>
  <sheetViews>
    <sheetView workbookViewId="0">
      <selection activeCell="G58" sqref="G58"/>
    </sheetView>
  </sheetViews>
  <sheetFormatPr defaultColWidth="8.875" defaultRowHeight="15.75" x14ac:dyDescent="0.25"/>
  <cols>
    <col min="1" max="1" width="9.875" customWidth="1"/>
    <col min="2" max="2" width="23.125" customWidth="1"/>
    <col min="3" max="3" width="22" customWidth="1"/>
    <col min="4" max="4" width="21.625" customWidth="1"/>
    <col min="5" max="5" width="20" customWidth="1"/>
    <col min="6" max="6" width="22.125" customWidth="1"/>
    <col min="7" max="7" width="17.5" customWidth="1"/>
    <col min="8" max="8" width="17.125" customWidth="1"/>
    <col min="9" max="9" width="11.125" customWidth="1"/>
    <col min="10" max="10" width="12.625" customWidth="1"/>
  </cols>
  <sheetData>
    <row r="2" spans="1:12" x14ac:dyDescent="0.25">
      <c r="A2" t="s">
        <v>22</v>
      </c>
      <c r="B2" t="s">
        <v>44</v>
      </c>
      <c r="C2" t="s">
        <v>45</v>
      </c>
      <c r="D2" t="s">
        <v>46</v>
      </c>
      <c r="E2" t="s">
        <v>47</v>
      </c>
      <c r="F2" t="s">
        <v>48</v>
      </c>
      <c r="G2" t="s">
        <v>49</v>
      </c>
      <c r="H2" t="s">
        <v>50</v>
      </c>
      <c r="I2" t="s">
        <v>79</v>
      </c>
      <c r="J2" t="s">
        <v>80</v>
      </c>
      <c r="K2" t="s">
        <v>51</v>
      </c>
      <c r="L2" t="s">
        <v>85</v>
      </c>
    </row>
    <row r="3" spans="1:12" x14ac:dyDescent="0.25">
      <c r="A3">
        <v>1</v>
      </c>
      <c r="B3" t="s">
        <v>61</v>
      </c>
      <c r="C3" t="s">
        <v>62</v>
      </c>
      <c r="D3" t="s">
        <v>58</v>
      </c>
      <c r="E3" t="s">
        <v>61</v>
      </c>
      <c r="F3" t="s">
        <v>61</v>
      </c>
      <c r="G3" t="s">
        <v>65</v>
      </c>
      <c r="H3" t="s">
        <v>68</v>
      </c>
      <c r="I3">
        <v>4</v>
      </c>
      <c r="J3">
        <v>6</v>
      </c>
      <c r="K3">
        <f>Table9[[#This Row],[Maksimitunnit]]*L3</f>
        <v>3</v>
      </c>
      <c r="L3">
        <v>0.5</v>
      </c>
    </row>
    <row r="4" spans="1:12" x14ac:dyDescent="0.25">
      <c r="A4">
        <v>2</v>
      </c>
      <c r="B4" t="s">
        <v>62</v>
      </c>
      <c r="C4" t="s">
        <v>59</v>
      </c>
      <c r="D4" t="s">
        <v>66</v>
      </c>
      <c r="E4" t="s">
        <v>61</v>
      </c>
      <c r="F4" t="s">
        <v>61</v>
      </c>
      <c r="G4" t="s">
        <v>64</v>
      </c>
      <c r="H4" t="s">
        <v>67</v>
      </c>
      <c r="I4">
        <v>5.75</v>
      </c>
      <c r="J4">
        <v>9</v>
      </c>
      <c r="K4">
        <f>Table9[[#This Row],[Maksimitunnit]]*L4</f>
        <v>4.5</v>
      </c>
      <c r="L4">
        <v>0.5</v>
      </c>
    </row>
    <row r="5" spans="1:12" x14ac:dyDescent="0.25">
      <c r="A5">
        <v>3</v>
      </c>
      <c r="B5" t="s">
        <v>69</v>
      </c>
      <c r="C5" t="s">
        <v>60</v>
      </c>
      <c r="D5" t="s">
        <v>66</v>
      </c>
      <c r="E5" t="s">
        <v>63</v>
      </c>
      <c r="F5" t="s">
        <v>57</v>
      </c>
      <c r="G5" t="s">
        <v>64</v>
      </c>
      <c r="H5" t="s">
        <v>67</v>
      </c>
      <c r="I5">
        <v>7.6</v>
      </c>
      <c r="J5">
        <v>11.75</v>
      </c>
      <c r="K5">
        <f>Table9[[#This Row],[Maksimitunnit]]*L5</f>
        <v>5.875</v>
      </c>
      <c r="L5">
        <v>0.5</v>
      </c>
    </row>
    <row r="7" spans="1:12" x14ac:dyDescent="0.25">
      <c r="A7" t="s">
        <v>22</v>
      </c>
      <c r="B7" t="s">
        <v>44</v>
      </c>
      <c r="C7" t="s">
        <v>45</v>
      </c>
      <c r="D7" t="s">
        <v>46</v>
      </c>
      <c r="E7" t="s">
        <v>47</v>
      </c>
      <c r="F7" t="s">
        <v>48</v>
      </c>
      <c r="G7" t="s">
        <v>49</v>
      </c>
      <c r="H7" t="s">
        <v>50</v>
      </c>
      <c r="I7" t="s">
        <v>112</v>
      </c>
      <c r="J7" t="s">
        <v>113</v>
      </c>
    </row>
    <row r="8" spans="1:12" x14ac:dyDescent="0.25">
      <c r="A8">
        <v>1</v>
      </c>
      <c r="B8">
        <v>0</v>
      </c>
      <c r="C8">
        <v>40</v>
      </c>
      <c r="D8">
        <v>50</v>
      </c>
      <c r="E8">
        <v>0</v>
      </c>
      <c r="F8">
        <v>0</v>
      </c>
      <c r="G8">
        <v>60</v>
      </c>
      <c r="H8">
        <v>90</v>
      </c>
      <c r="I8">
        <f>SUM(Treenivalinta2[[#This Row],[Maanantai]:[Sunnuntai]])</f>
        <v>240</v>
      </c>
      <c r="J8">
        <f>Treenivalinta2[[#This Row],[Summa]]/60</f>
        <v>4</v>
      </c>
    </row>
    <row r="9" spans="1:12" x14ac:dyDescent="0.25">
      <c r="A9">
        <v>2</v>
      </c>
      <c r="B9">
        <v>40</v>
      </c>
      <c r="C9">
        <v>60</v>
      </c>
      <c r="D9">
        <v>75</v>
      </c>
      <c r="E9">
        <v>0</v>
      </c>
      <c r="F9">
        <v>0</v>
      </c>
      <c r="G9">
        <v>80</v>
      </c>
      <c r="H9">
        <v>90</v>
      </c>
      <c r="I9">
        <f>SUM(Treenivalinta2[[#This Row],[Maanantai]:[Sunnuntai]])</f>
        <v>345</v>
      </c>
      <c r="J9">
        <f>Treenivalinta2[[#This Row],[Summa]]/60</f>
        <v>5.75</v>
      </c>
    </row>
    <row r="10" spans="1:12" x14ac:dyDescent="0.25">
      <c r="A10">
        <v>3</v>
      </c>
      <c r="B10">
        <v>50</v>
      </c>
      <c r="C10">
        <v>75</v>
      </c>
      <c r="D10">
        <v>75</v>
      </c>
      <c r="E10">
        <v>40</v>
      </c>
      <c r="F10">
        <v>50</v>
      </c>
      <c r="G10">
        <v>80</v>
      </c>
      <c r="H10">
        <v>90</v>
      </c>
      <c r="I10">
        <f>SUM(Treenivalinta2[[#This Row],[Maanantai]:[Sunnuntai]])</f>
        <v>460</v>
      </c>
      <c r="J10">
        <f>Treenivalinta2[[#This Row],[Summa]]/60</f>
        <v>7.666666666666667</v>
      </c>
    </row>
    <row r="12" spans="1:12" x14ac:dyDescent="0.25">
      <c r="A12" t="s">
        <v>22</v>
      </c>
      <c r="B12" t="s">
        <v>44</v>
      </c>
      <c r="C12" t="s">
        <v>45</v>
      </c>
      <c r="D12" t="s">
        <v>46</v>
      </c>
      <c r="E12" t="s">
        <v>47</v>
      </c>
      <c r="F12" t="s">
        <v>48</v>
      </c>
      <c r="G12" t="s">
        <v>49</v>
      </c>
      <c r="H12" t="s">
        <v>50</v>
      </c>
      <c r="I12" t="s">
        <v>112</v>
      </c>
      <c r="J12" t="s">
        <v>113</v>
      </c>
    </row>
    <row r="13" spans="1:12" x14ac:dyDescent="0.25">
      <c r="A13">
        <v>1</v>
      </c>
      <c r="B13">
        <v>0</v>
      </c>
      <c r="C13">
        <v>60</v>
      </c>
      <c r="D13">
        <v>75</v>
      </c>
      <c r="E13">
        <v>0</v>
      </c>
      <c r="F13">
        <v>0</v>
      </c>
      <c r="G13">
        <v>75</v>
      </c>
      <c r="H13">
        <v>150</v>
      </c>
      <c r="I13">
        <f>SUM(Treenivalinta214[[#This Row],[Maanantai]:[Sunnuntai]])</f>
        <v>360</v>
      </c>
      <c r="J13">
        <f>Treenivalinta214[[#This Row],[Summa]]/60</f>
        <v>6</v>
      </c>
    </row>
    <row r="14" spans="1:12" x14ac:dyDescent="0.25">
      <c r="A14">
        <v>2</v>
      </c>
      <c r="B14">
        <v>60</v>
      </c>
      <c r="C14">
        <v>90</v>
      </c>
      <c r="D14">
        <v>90</v>
      </c>
      <c r="E14">
        <v>0</v>
      </c>
      <c r="F14">
        <v>0</v>
      </c>
      <c r="G14">
        <v>120</v>
      </c>
      <c r="H14">
        <v>180</v>
      </c>
      <c r="I14">
        <f>SUM(Treenivalinta214[[#This Row],[Maanantai]:[Sunnuntai]])</f>
        <v>540</v>
      </c>
      <c r="J14">
        <f>Treenivalinta214[[#This Row],[Summa]]/60</f>
        <v>9</v>
      </c>
    </row>
    <row r="15" spans="1:12" x14ac:dyDescent="0.25">
      <c r="A15">
        <v>3</v>
      </c>
      <c r="B15">
        <v>80</v>
      </c>
      <c r="C15">
        <v>100</v>
      </c>
      <c r="D15">
        <v>90</v>
      </c>
      <c r="E15">
        <v>60</v>
      </c>
      <c r="F15">
        <v>75</v>
      </c>
      <c r="G15">
        <v>120</v>
      </c>
      <c r="H15">
        <v>180</v>
      </c>
      <c r="I15">
        <f>SUM(Treenivalinta214[[#This Row],[Maanantai]:[Sunnuntai]])</f>
        <v>705</v>
      </c>
      <c r="J15">
        <f>Treenivalinta214[[#This Row],[Summa]]/60</f>
        <v>11.75</v>
      </c>
    </row>
    <row r="17" spans="1:10" x14ac:dyDescent="0.25">
      <c r="A17" t="s">
        <v>22</v>
      </c>
      <c r="B17" t="s">
        <v>44</v>
      </c>
      <c r="C17" t="s">
        <v>45</v>
      </c>
      <c r="D17" t="s">
        <v>46</v>
      </c>
      <c r="E17" t="s">
        <v>47</v>
      </c>
      <c r="F17" t="s">
        <v>48</v>
      </c>
      <c r="G17" t="s">
        <v>49</v>
      </c>
      <c r="H17" t="s">
        <v>50</v>
      </c>
      <c r="I17" t="s">
        <v>112</v>
      </c>
      <c r="J17" t="s">
        <v>113</v>
      </c>
    </row>
    <row r="18" spans="1:10" x14ac:dyDescent="0.25">
      <c r="A18">
        <v>1</v>
      </c>
      <c r="B18">
        <f>AVERAGE(B13,B8)</f>
        <v>0</v>
      </c>
      <c r="C18">
        <f t="shared" ref="C18:H18" si="0">AVERAGE(C13,C8)</f>
        <v>50</v>
      </c>
      <c r="D18">
        <f t="shared" si="0"/>
        <v>62.5</v>
      </c>
      <c r="E18">
        <f t="shared" si="0"/>
        <v>0</v>
      </c>
      <c r="F18">
        <f t="shared" si="0"/>
        <v>0</v>
      </c>
      <c r="G18">
        <f t="shared" si="0"/>
        <v>67.5</v>
      </c>
      <c r="H18">
        <f t="shared" si="0"/>
        <v>120</v>
      </c>
      <c r="I18">
        <f>SUM(Treenivalinta21415[[#This Row],[Maanantai]:[Sunnuntai]])</f>
        <v>300</v>
      </c>
      <c r="J18">
        <f>Treenivalinta21415[[#This Row],[Summa]]/60</f>
        <v>5</v>
      </c>
    </row>
    <row r="19" spans="1:10" x14ac:dyDescent="0.25">
      <c r="A19">
        <v>2</v>
      </c>
      <c r="B19">
        <f t="shared" ref="B19:H19" si="1">AVERAGE(B14,B9)</f>
        <v>50</v>
      </c>
      <c r="C19">
        <f t="shared" si="1"/>
        <v>75</v>
      </c>
      <c r="D19">
        <f t="shared" si="1"/>
        <v>82.5</v>
      </c>
      <c r="E19">
        <f t="shared" si="1"/>
        <v>0</v>
      </c>
      <c r="F19">
        <f t="shared" si="1"/>
        <v>0</v>
      </c>
      <c r="G19">
        <f t="shared" si="1"/>
        <v>100</v>
      </c>
      <c r="H19">
        <f t="shared" si="1"/>
        <v>135</v>
      </c>
      <c r="I19">
        <f>SUM(Treenivalinta21415[[#This Row],[Maanantai]:[Sunnuntai]])</f>
        <v>442.5</v>
      </c>
      <c r="J19">
        <f>Treenivalinta21415[[#This Row],[Summa]]/60</f>
        <v>7.375</v>
      </c>
    </row>
    <row r="20" spans="1:10" x14ac:dyDescent="0.25">
      <c r="A20">
        <v>3</v>
      </c>
      <c r="B20">
        <f t="shared" ref="B20:H20" si="2">AVERAGE(B15,B10)</f>
        <v>65</v>
      </c>
      <c r="C20">
        <f>AVERAGE(C15,C10)</f>
        <v>87.5</v>
      </c>
      <c r="D20">
        <f t="shared" si="2"/>
        <v>82.5</v>
      </c>
      <c r="E20">
        <f t="shared" si="2"/>
        <v>50</v>
      </c>
      <c r="F20">
        <f t="shared" si="2"/>
        <v>62.5</v>
      </c>
      <c r="G20">
        <f t="shared" si="2"/>
        <v>100</v>
      </c>
      <c r="H20">
        <f t="shared" si="2"/>
        <v>135</v>
      </c>
      <c r="I20">
        <f>SUM(Treenivalinta21415[[#This Row],[Maanantai]:[Sunnuntai]])</f>
        <v>582.5</v>
      </c>
      <c r="J20">
        <f>Treenivalinta21415[[#This Row],[Summa]]/60</f>
        <v>9.7083333333333339</v>
      </c>
    </row>
    <row r="22" spans="1:10" x14ac:dyDescent="0.25">
      <c r="A22" t="s">
        <v>22</v>
      </c>
      <c r="B22" t="s">
        <v>44</v>
      </c>
      <c r="C22" t="s">
        <v>45</v>
      </c>
      <c r="D22" t="s">
        <v>46</v>
      </c>
      <c r="E22" t="s">
        <v>47</v>
      </c>
      <c r="F22" t="s">
        <v>48</v>
      </c>
      <c r="G22" t="s">
        <v>49</v>
      </c>
      <c r="H22" t="s">
        <v>50</v>
      </c>
    </row>
    <row r="23" spans="1:10" x14ac:dyDescent="0.25">
      <c r="A23">
        <v>1</v>
      </c>
      <c r="B23" t="s">
        <v>109</v>
      </c>
      <c r="C23" t="s">
        <v>1</v>
      </c>
      <c r="D23" t="s">
        <v>1</v>
      </c>
      <c r="E23" t="s">
        <v>61</v>
      </c>
      <c r="F23" t="s">
        <v>61</v>
      </c>
      <c r="G23" t="s">
        <v>110</v>
      </c>
      <c r="H23" t="s">
        <v>111</v>
      </c>
    </row>
    <row r="24" spans="1:10" x14ac:dyDescent="0.25">
      <c r="A24">
        <v>2</v>
      </c>
      <c r="B24" t="s">
        <v>1</v>
      </c>
      <c r="C24" t="s">
        <v>1</v>
      </c>
      <c r="D24" t="s">
        <v>18</v>
      </c>
      <c r="E24" t="s">
        <v>61</v>
      </c>
      <c r="F24" t="s">
        <v>61</v>
      </c>
      <c r="G24" t="s">
        <v>88</v>
      </c>
      <c r="H24" t="s">
        <v>111</v>
      </c>
    </row>
    <row r="25" spans="1:10" x14ac:dyDescent="0.25">
      <c r="A25">
        <v>3</v>
      </c>
      <c r="B25" t="s">
        <v>1</v>
      </c>
      <c r="C25" t="s">
        <v>1</v>
      </c>
      <c r="D25" t="s">
        <v>18</v>
      </c>
      <c r="E25" t="s">
        <v>0</v>
      </c>
      <c r="F25" t="s">
        <v>1</v>
      </c>
      <c r="G25" t="s">
        <v>88</v>
      </c>
      <c r="H25" t="s">
        <v>111</v>
      </c>
    </row>
    <row r="27" spans="1:10" x14ac:dyDescent="0.25">
      <c r="A27" s="52" t="s">
        <v>22</v>
      </c>
      <c r="B27" s="52" t="s">
        <v>44</v>
      </c>
      <c r="C27" s="52" t="s">
        <v>45</v>
      </c>
      <c r="D27" s="52" t="s">
        <v>46</v>
      </c>
      <c r="E27" s="52" t="s">
        <v>47</v>
      </c>
      <c r="F27" s="52" t="s">
        <v>48</v>
      </c>
      <c r="G27" s="52" t="s">
        <v>49</v>
      </c>
      <c r="H27" s="52" t="s">
        <v>50</v>
      </c>
    </row>
    <row r="28" spans="1:10" x14ac:dyDescent="0.25">
      <c r="A28" s="53">
        <v>1</v>
      </c>
      <c r="B28" s="53">
        <v>0</v>
      </c>
      <c r="C28" s="53">
        <v>2</v>
      </c>
      <c r="D28" s="53">
        <v>2</v>
      </c>
      <c r="E28" s="53">
        <v>0</v>
      </c>
      <c r="F28" s="53">
        <v>0</v>
      </c>
      <c r="G28" s="53">
        <v>4</v>
      </c>
      <c r="H28" s="53">
        <v>3</v>
      </c>
    </row>
    <row r="29" spans="1:10" x14ac:dyDescent="0.25">
      <c r="A29" s="24">
        <v>2</v>
      </c>
      <c r="B29" s="24">
        <v>2</v>
      </c>
      <c r="C29" s="24">
        <v>2</v>
      </c>
      <c r="D29" s="24">
        <v>4</v>
      </c>
      <c r="E29" s="24">
        <v>0</v>
      </c>
      <c r="F29" s="24">
        <v>0</v>
      </c>
      <c r="G29" s="24">
        <v>4</v>
      </c>
      <c r="H29" s="24">
        <v>3</v>
      </c>
    </row>
    <row r="30" spans="1:10" x14ac:dyDescent="0.25">
      <c r="A30" s="54">
        <v>3</v>
      </c>
      <c r="B30" s="54">
        <v>2</v>
      </c>
      <c r="C30" s="54">
        <v>2</v>
      </c>
      <c r="D30" s="54">
        <v>4</v>
      </c>
      <c r="E30" s="54">
        <v>1</v>
      </c>
      <c r="F30" s="54">
        <v>2</v>
      </c>
      <c r="G30" s="54">
        <v>4</v>
      </c>
      <c r="H30" s="54">
        <v>3</v>
      </c>
    </row>
    <row r="33" spans="1:9" x14ac:dyDescent="0.25">
      <c r="B33" t="s">
        <v>115</v>
      </c>
      <c r="C33" t="s">
        <v>116</v>
      </c>
      <c r="D33" t="s">
        <v>156</v>
      </c>
      <c r="E33" t="s">
        <v>157</v>
      </c>
    </row>
    <row r="34" spans="1:9" x14ac:dyDescent="0.25">
      <c r="B34">
        <v>0</v>
      </c>
      <c r="C34" t="s">
        <v>109</v>
      </c>
      <c r="D34" s="1"/>
      <c r="E34" s="1"/>
    </row>
    <row r="35" spans="1:9" x14ac:dyDescent="0.25">
      <c r="B35">
        <v>1</v>
      </c>
      <c r="C35" t="s">
        <v>0</v>
      </c>
      <c r="D35" s="27">
        <v>0.5</v>
      </c>
      <c r="E35" s="27">
        <v>0.6</v>
      </c>
    </row>
    <row r="36" spans="1:9" x14ac:dyDescent="0.25">
      <c r="B36">
        <v>2</v>
      </c>
      <c r="C36" t="s">
        <v>1</v>
      </c>
      <c r="D36" s="27">
        <v>0.6</v>
      </c>
      <c r="E36" s="27">
        <v>0.75</v>
      </c>
    </row>
    <row r="37" spans="1:9" x14ac:dyDescent="0.25">
      <c r="B37">
        <v>3</v>
      </c>
      <c r="C37" t="s">
        <v>114</v>
      </c>
      <c r="D37" s="27">
        <v>0.6</v>
      </c>
      <c r="E37" s="27">
        <v>0.7</v>
      </c>
    </row>
    <row r="38" spans="1:9" x14ac:dyDescent="0.25">
      <c r="B38">
        <v>4</v>
      </c>
      <c r="C38" t="s">
        <v>110</v>
      </c>
      <c r="D38" s="1" t="s">
        <v>158</v>
      </c>
      <c r="E38" s="1"/>
    </row>
    <row r="40" spans="1:9" x14ac:dyDescent="0.25">
      <c r="A40" s="52" t="s">
        <v>22</v>
      </c>
      <c r="B40" s="52" t="s">
        <v>44</v>
      </c>
      <c r="C40" s="52" t="s">
        <v>45</v>
      </c>
      <c r="D40" s="52" t="s">
        <v>46</v>
      </c>
      <c r="E40" s="52" t="s">
        <v>47</v>
      </c>
      <c r="F40" s="52" t="s">
        <v>48</v>
      </c>
      <c r="G40" s="52" t="s">
        <v>49</v>
      </c>
      <c r="H40" s="52" t="s">
        <v>50</v>
      </c>
      <c r="I40" s="52" t="s">
        <v>51</v>
      </c>
    </row>
    <row r="41" spans="1:9" x14ac:dyDescent="0.25">
      <c r="A41" s="53">
        <v>1</v>
      </c>
      <c r="B41" s="53" t="s">
        <v>61</v>
      </c>
      <c r="C41" s="53" t="s">
        <v>61</v>
      </c>
      <c r="D41" s="53" t="s">
        <v>118</v>
      </c>
      <c r="E41" s="53" t="s">
        <v>61</v>
      </c>
      <c r="F41" s="53" t="s">
        <v>119</v>
      </c>
      <c r="G41" s="53" t="s">
        <v>61</v>
      </c>
      <c r="H41" s="53" t="s">
        <v>117</v>
      </c>
      <c r="I41" s="53">
        <v>3</v>
      </c>
    </row>
    <row r="42" spans="1:9" x14ac:dyDescent="0.25">
      <c r="A42" s="24">
        <v>2</v>
      </c>
      <c r="B42" s="24" t="s">
        <v>61</v>
      </c>
      <c r="C42" s="24" t="s">
        <v>121</v>
      </c>
      <c r="D42" s="24" t="s">
        <v>122</v>
      </c>
      <c r="E42" s="24" t="s">
        <v>123</v>
      </c>
      <c r="F42" s="24" t="s">
        <v>61</v>
      </c>
      <c r="G42" s="24" t="s">
        <v>61</v>
      </c>
      <c r="H42" s="24" t="s">
        <v>120</v>
      </c>
      <c r="I42" s="24">
        <v>4.5</v>
      </c>
    </row>
    <row r="43" spans="1:9" x14ac:dyDescent="0.25">
      <c r="A43" s="54">
        <v>3</v>
      </c>
      <c r="B43" s="54" t="s">
        <v>61</v>
      </c>
      <c r="C43" s="54" t="s">
        <v>124</v>
      </c>
      <c r="D43" s="54" t="s">
        <v>122</v>
      </c>
      <c r="E43" s="54" t="s">
        <v>121</v>
      </c>
      <c r="F43" s="54" t="s">
        <v>125</v>
      </c>
      <c r="G43" s="54" t="s">
        <v>61</v>
      </c>
      <c r="H43" s="54" t="s">
        <v>120</v>
      </c>
      <c r="I43" s="54">
        <v>5.875</v>
      </c>
    </row>
    <row r="45" spans="1:9" x14ac:dyDescent="0.25">
      <c r="A45" s="52" t="s">
        <v>22</v>
      </c>
      <c r="B45" s="52" t="s">
        <v>44</v>
      </c>
      <c r="C45" s="52" t="s">
        <v>45</v>
      </c>
      <c r="D45" s="52" t="s">
        <v>46</v>
      </c>
      <c r="E45" s="52" t="s">
        <v>47</v>
      </c>
      <c r="F45" s="52" t="s">
        <v>48</v>
      </c>
      <c r="G45" s="52" t="s">
        <v>49</v>
      </c>
      <c r="H45" s="52" t="s">
        <v>50</v>
      </c>
    </row>
    <row r="46" spans="1:9" x14ac:dyDescent="0.25">
      <c r="A46" s="53">
        <v>1</v>
      </c>
      <c r="B46" s="53">
        <v>0</v>
      </c>
      <c r="C46" s="53">
        <v>0</v>
      </c>
      <c r="D46" s="53">
        <v>2</v>
      </c>
      <c r="E46" s="53">
        <v>0</v>
      </c>
      <c r="F46" s="53">
        <v>1</v>
      </c>
      <c r="G46" s="53">
        <v>0</v>
      </c>
      <c r="H46" s="53">
        <v>3</v>
      </c>
    </row>
    <row r="47" spans="1:9" x14ac:dyDescent="0.25">
      <c r="A47" s="24">
        <v>2</v>
      </c>
      <c r="B47" s="24">
        <v>0</v>
      </c>
      <c r="C47" s="24">
        <v>2</v>
      </c>
      <c r="D47" s="24">
        <v>1</v>
      </c>
      <c r="E47" s="24">
        <v>2</v>
      </c>
      <c r="F47" s="24">
        <v>0</v>
      </c>
      <c r="G47" s="24">
        <v>0</v>
      </c>
      <c r="H47" s="24">
        <v>3</v>
      </c>
    </row>
    <row r="48" spans="1:9" x14ac:dyDescent="0.25">
      <c r="A48" s="54">
        <v>3</v>
      </c>
      <c r="B48" s="54">
        <v>0</v>
      </c>
      <c r="C48" s="54">
        <v>2</v>
      </c>
      <c r="D48" s="54">
        <v>1</v>
      </c>
      <c r="E48" s="54">
        <v>2</v>
      </c>
      <c r="F48" s="54">
        <v>1</v>
      </c>
      <c r="G48" s="54">
        <v>0</v>
      </c>
      <c r="H48" s="54">
        <v>3</v>
      </c>
    </row>
    <row r="50" spans="1:8" x14ac:dyDescent="0.25">
      <c r="A50" s="52" t="s">
        <v>22</v>
      </c>
      <c r="B50" s="52" t="s">
        <v>44</v>
      </c>
      <c r="C50" s="52" t="s">
        <v>45</v>
      </c>
      <c r="D50" s="52" t="s">
        <v>46</v>
      </c>
      <c r="E50" s="52" t="s">
        <v>47</v>
      </c>
      <c r="F50" s="52" t="s">
        <v>48</v>
      </c>
      <c r="G50" s="52" t="s">
        <v>49</v>
      </c>
      <c r="H50" s="52" t="s">
        <v>50</v>
      </c>
    </row>
    <row r="51" spans="1:8" x14ac:dyDescent="0.25">
      <c r="A51" s="53">
        <v>1</v>
      </c>
      <c r="B51" s="53">
        <v>0</v>
      </c>
      <c r="C51" s="53">
        <v>0</v>
      </c>
      <c r="D51" s="53">
        <v>60</v>
      </c>
      <c r="E51" s="53">
        <v>0</v>
      </c>
      <c r="F51" s="53">
        <v>45</v>
      </c>
      <c r="G51" s="53">
        <v>0</v>
      </c>
      <c r="H51" s="53">
        <v>75</v>
      </c>
    </row>
    <row r="52" spans="1:8" x14ac:dyDescent="0.25">
      <c r="A52" s="24">
        <v>2</v>
      </c>
      <c r="B52" s="24">
        <v>0</v>
      </c>
      <c r="C52" s="24">
        <v>70</v>
      </c>
      <c r="D52" s="24">
        <v>60</v>
      </c>
      <c r="E52" s="24">
        <v>50</v>
      </c>
      <c r="F52" s="24">
        <v>0</v>
      </c>
      <c r="G52" s="24">
        <v>0</v>
      </c>
      <c r="H52" s="24">
        <v>90</v>
      </c>
    </row>
    <row r="53" spans="1:8" x14ac:dyDescent="0.25">
      <c r="A53" s="54">
        <v>3</v>
      </c>
      <c r="B53" s="54">
        <v>0</v>
      </c>
      <c r="C53" s="54">
        <v>80</v>
      </c>
      <c r="D53" s="54">
        <v>60</v>
      </c>
      <c r="E53" s="54">
        <v>70</v>
      </c>
      <c r="F53" s="54">
        <v>50</v>
      </c>
      <c r="G53" s="54">
        <v>0</v>
      </c>
      <c r="H53" s="54">
        <v>90</v>
      </c>
    </row>
  </sheetData>
  <pageMargins left="0.7" right="0.7" top="0.75" bottom="0.75" header="0.3" footer="0.3"/>
  <tableParts count="6">
    <tablePart r:id="rId1"/>
    <tablePart r:id="rId2"/>
    <tablePart r:id="rId3"/>
    <tablePart r:id="rId4"/>
    <tablePart r:id="rId5"/>
    <tablePart r:id="rId6"/>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9</vt:i4>
      </vt:variant>
      <vt:variant>
        <vt:lpstr>Nimetyt alueet</vt:lpstr>
      </vt:variant>
      <vt:variant>
        <vt:i4>45</vt:i4>
      </vt:variant>
    </vt:vector>
  </HeadingPairs>
  <TitlesOfParts>
    <vt:vector size="54" baseType="lpstr">
      <vt:lpstr>Alkukysely</vt:lpstr>
      <vt:lpstr>Kuntoseuranta</vt:lpstr>
      <vt:lpstr>Esimerkki kuntoseuranta</vt:lpstr>
      <vt:lpstr>Viikko-ohjelma</vt:lpstr>
      <vt:lpstr>Harjoitusalueet</vt:lpstr>
      <vt:lpstr>Kausisuunnitelma</vt:lpstr>
      <vt:lpstr>Kovat 1</vt:lpstr>
      <vt:lpstr>Kovat 2 ja 3</vt:lpstr>
      <vt:lpstr>Ohjelmamallit</vt:lpstr>
      <vt:lpstr>'Esimerkki kuntoseuranta'!Intensiteetti</vt:lpstr>
      <vt:lpstr>'Kovat 1'!Intensiteetti</vt:lpstr>
      <vt:lpstr>Intensiteetti</vt:lpstr>
      <vt:lpstr>'Esimerkki kuntoseuranta'!Intensiteettikoodi</vt:lpstr>
      <vt:lpstr>'Kovat 1'!Intensiteettikoodi</vt:lpstr>
      <vt:lpstr>Intensiteettikoodi</vt:lpstr>
      <vt:lpstr>Intensiteettinumero</vt:lpstr>
      <vt:lpstr>'Esimerkki kuntoseuranta'!Jaksokoodit</vt:lpstr>
      <vt:lpstr>'Kovat 1'!Jaksokoodit</vt:lpstr>
      <vt:lpstr>'Viikko-ohjelma'!Jaksokoodit</vt:lpstr>
      <vt:lpstr>Jaksokoodit</vt:lpstr>
      <vt:lpstr>'Esimerkki kuntoseuranta'!Jaksokoodit2</vt:lpstr>
      <vt:lpstr>'Kovat 1'!Jaksokoodit2</vt:lpstr>
      <vt:lpstr>Jaksokoodit2</vt:lpstr>
      <vt:lpstr>'Esimerkki kuntoseuranta'!Kausisuunnitelma</vt:lpstr>
      <vt:lpstr>'Kovat 1'!Kausisuunnitelma</vt:lpstr>
      <vt:lpstr>Kausisuunnitelma</vt:lpstr>
      <vt:lpstr>'Esimerkki kuntoseuranta'!Keskikesto</vt:lpstr>
      <vt:lpstr>'Kovat 1'!Keskikesto</vt:lpstr>
      <vt:lpstr>Keskikesto</vt:lpstr>
      <vt:lpstr>Kevytkesto</vt:lpstr>
      <vt:lpstr>Kevytnum</vt:lpstr>
      <vt:lpstr>Kevytviikko</vt:lpstr>
      <vt:lpstr>Kovat1</vt:lpstr>
      <vt:lpstr>'Kovat 1'!Kovat23</vt:lpstr>
      <vt:lpstr>Kovat23</vt:lpstr>
      <vt:lpstr>'Esimerkki kuntoseuranta'!Kynnys</vt:lpstr>
      <vt:lpstr>Kynnys</vt:lpstr>
      <vt:lpstr>'Esimerkki kuntoseuranta'!Maksimikesto</vt:lpstr>
      <vt:lpstr>'Kovat 1'!Maksimikesto</vt:lpstr>
      <vt:lpstr>Maksimikesto</vt:lpstr>
      <vt:lpstr>'Esimerkki kuntoseuranta'!Minimikesto</vt:lpstr>
      <vt:lpstr>'Kovat 1'!Minimikesto</vt:lpstr>
      <vt:lpstr>Minimikesto</vt:lpstr>
      <vt:lpstr>'Esimerkki kuntoseuranta'!MMP</vt:lpstr>
      <vt:lpstr>'Kovat 1'!MMP</vt:lpstr>
      <vt:lpstr>MMP</vt:lpstr>
      <vt:lpstr>'Esimerkki kuntoseuranta'!Treenivalinta</vt:lpstr>
      <vt:lpstr>'Kovat 1'!Treenivalinta</vt:lpstr>
      <vt:lpstr>'Viikko-ohjelma'!Treenivalinta</vt:lpstr>
      <vt:lpstr>Treenivalinta</vt:lpstr>
      <vt:lpstr>'Esimerkki kuntoseuranta'!Viikkokoodit</vt:lpstr>
      <vt:lpstr>'Kovat 1'!Viikkokoodit</vt:lpstr>
      <vt:lpstr>'Viikko-ohjelma'!Viikkokoodit</vt:lpstr>
      <vt:lpstr>Viikkokoodit</vt:lpstr>
    </vt:vector>
  </TitlesOfParts>
  <Company>University Of Jyväskylä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Lehtonen, Elias</dc:creator>
  <cp:lastModifiedBy>Elias Lehtonen</cp:lastModifiedBy>
  <dcterms:created xsi:type="dcterms:W3CDTF">2018-02-27T14:48:52Z</dcterms:created>
  <dcterms:modified xsi:type="dcterms:W3CDTF">2021-01-25T12:46:07Z</dcterms:modified>
</cp:coreProperties>
</file>